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Kambonde\Desktop\EZEKIEL\Trade Bulletin\2026\Jan\"/>
    </mc:Choice>
  </mc:AlternateContent>
  <xr:revisionPtr revIDLastSave="0" documentId="13_ncr:1_{726E6415-9456-44A9-8CA0-917A80F96AA6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Dec 2025 revisions" sheetId="82" r:id="rId2"/>
    <sheet name=" Tab 2 Cum Trade value 2025" sheetId="83" r:id="rId3"/>
    <sheet name="Tab 3 Cum Trade value 2026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AfCFTA" sheetId="114" r:id="rId33"/>
    <sheet name="Tab33 Intra-SADC" sheetId="129" r:id="rId34"/>
    <sheet name="Tab34 Food items " sheetId="115" r:id="rId35"/>
    <sheet name="Tab35 Beverages" sheetId="116" r:id="rId36"/>
    <sheet name="Tab36 Commodity of the Mont" sheetId="117" r:id="rId37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Borderpost'!#REF!</definedName>
    <definedName name="_xlnm._FilterDatabase" localSheetId="34" hidden="1">'Tab34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83" l="1"/>
  <c r="G4" i="83"/>
  <c r="G5" i="83"/>
  <c r="G6" i="83"/>
  <c r="G7" i="83"/>
  <c r="G8" i="83"/>
  <c r="G9" i="83"/>
  <c r="G10" i="83"/>
  <c r="G11" i="83"/>
  <c r="G12" i="83"/>
  <c r="G13" i="83"/>
  <c r="G3" i="83"/>
  <c r="H5" i="107"/>
  <c r="I5" i="107"/>
  <c r="H6" i="107"/>
  <c r="I6" i="107"/>
  <c r="H8" i="107"/>
  <c r="D9" i="107"/>
  <c r="F9" i="107"/>
  <c r="B9" i="107"/>
  <c r="H5" i="97"/>
  <c r="I5" i="97"/>
  <c r="H6" i="97"/>
  <c r="I6" i="97"/>
  <c r="H7" i="97"/>
  <c r="I7" i="97"/>
  <c r="H8" i="97"/>
  <c r="I8" i="97"/>
  <c r="H9" i="97"/>
  <c r="I9" i="97"/>
  <c r="H10" i="97"/>
  <c r="I10" i="97"/>
  <c r="H11" i="97"/>
  <c r="I11" i="97"/>
  <c r="H12" i="97"/>
  <c r="I12" i="97"/>
  <c r="H13" i="97"/>
  <c r="I13" i="97"/>
  <c r="H14" i="97"/>
  <c r="I14" i="97"/>
  <c r="H15" i="97"/>
  <c r="I15" i="97"/>
  <c r="H16" i="97"/>
  <c r="I16" i="97"/>
  <c r="H17" i="97"/>
  <c r="I17" i="97"/>
  <c r="H18" i="97"/>
  <c r="I18" i="97"/>
  <c r="H19" i="97"/>
  <c r="I19" i="97"/>
  <c r="H20" i="97"/>
  <c r="I20" i="97"/>
  <c r="H21" i="97"/>
  <c r="I21" i="97"/>
  <c r="H22" i="97"/>
  <c r="I22" i="97"/>
  <c r="H23" i="97"/>
  <c r="I23" i="97"/>
  <c r="H24" i="97"/>
  <c r="I24" i="97"/>
  <c r="H25" i="97"/>
  <c r="I25" i="97"/>
  <c r="H26" i="97"/>
  <c r="I26" i="97"/>
  <c r="H27" i="97"/>
  <c r="I27" i="97"/>
  <c r="H28" i="97"/>
  <c r="I28" i="97"/>
  <c r="H29" i="97"/>
  <c r="I29" i="97"/>
  <c r="H30" i="97"/>
  <c r="I30" i="97"/>
  <c r="H31" i="97"/>
  <c r="I31" i="97"/>
  <c r="H32" i="97"/>
  <c r="I32" i="97"/>
  <c r="H33" i="97"/>
  <c r="I33" i="97"/>
  <c r="H34" i="97"/>
  <c r="I34" i="97"/>
  <c r="H35" i="97"/>
  <c r="I35" i="97"/>
  <c r="H36" i="97"/>
  <c r="I36" i="97"/>
  <c r="H37" i="97"/>
  <c r="I37" i="97"/>
  <c r="H38" i="97"/>
  <c r="I38" i="97"/>
  <c r="H39" i="97"/>
  <c r="I39" i="97"/>
  <c r="H40" i="97"/>
  <c r="I40" i="97"/>
  <c r="H41" i="97"/>
  <c r="I41" i="97"/>
  <c r="H42" i="97"/>
  <c r="I42" i="97"/>
  <c r="H43" i="97"/>
  <c r="I43" i="97"/>
  <c r="H44" i="97"/>
  <c r="I44" i="97"/>
  <c r="H45" i="97"/>
  <c r="I45" i="97"/>
  <c r="H46" i="97"/>
  <c r="I46" i="97"/>
  <c r="H47" i="97"/>
  <c r="I47" i="97"/>
  <c r="H48" i="97"/>
  <c r="I48" i="97"/>
  <c r="H49" i="97"/>
  <c r="I49" i="97"/>
  <c r="H50" i="97"/>
  <c r="I50" i="97"/>
  <c r="H51" i="97"/>
  <c r="I51" i="97"/>
  <c r="H52" i="97"/>
  <c r="I52" i="97"/>
  <c r="H53" i="97"/>
  <c r="I53" i="97"/>
  <c r="H54" i="97"/>
  <c r="I54" i="97"/>
  <c r="H55" i="97"/>
  <c r="I55" i="97"/>
  <c r="H56" i="97"/>
  <c r="I56" i="97"/>
  <c r="H57" i="97"/>
  <c r="I57" i="97"/>
  <c r="H58" i="97"/>
  <c r="I58" i="97"/>
  <c r="H59" i="97"/>
  <c r="I59" i="97"/>
  <c r="H60" i="97"/>
  <c r="I60" i="97"/>
  <c r="H61" i="97"/>
  <c r="I61" i="97"/>
  <c r="H62" i="97"/>
  <c r="I62" i="97"/>
  <c r="H63" i="97"/>
  <c r="I63" i="97"/>
  <c r="H64" i="97"/>
  <c r="I64" i="97"/>
  <c r="H65" i="97"/>
  <c r="I65" i="97"/>
  <c r="H66" i="97"/>
  <c r="I66" i="97"/>
  <c r="H67" i="97"/>
  <c r="I67" i="97"/>
  <c r="H68" i="97"/>
  <c r="I68" i="97"/>
  <c r="H69" i="97"/>
  <c r="I69" i="97"/>
  <c r="H70" i="97"/>
  <c r="I70" i="97"/>
  <c r="H71" i="97"/>
  <c r="I71" i="97"/>
  <c r="H72" i="97"/>
  <c r="I72" i="97"/>
  <c r="H73" i="97"/>
  <c r="I73" i="97"/>
  <c r="H74" i="97"/>
  <c r="I74" i="97"/>
  <c r="H75" i="97"/>
  <c r="I75" i="97"/>
  <c r="H76" i="97"/>
  <c r="I76" i="97"/>
  <c r="H77" i="97"/>
  <c r="I77" i="97"/>
  <c r="H78" i="97"/>
  <c r="I78" i="97"/>
  <c r="H79" i="97"/>
  <c r="I79" i="97"/>
  <c r="H80" i="97"/>
  <c r="I80" i="97"/>
  <c r="H81" i="97"/>
  <c r="I81" i="97"/>
  <c r="H82" i="97"/>
  <c r="I82" i="97"/>
  <c r="H83" i="97"/>
  <c r="I83" i="97"/>
  <c r="H84" i="97"/>
  <c r="I84" i="97"/>
  <c r="H85" i="97"/>
  <c r="I85" i="97"/>
  <c r="H86" i="97"/>
  <c r="I86" i="97"/>
  <c r="H87" i="97"/>
  <c r="I87" i="97"/>
  <c r="H88" i="97"/>
  <c r="I88" i="97"/>
  <c r="H89" i="97"/>
  <c r="I89" i="97"/>
  <c r="H90" i="97"/>
  <c r="I90" i="97"/>
  <c r="H91" i="97"/>
  <c r="I91" i="97"/>
  <c r="H92" i="97"/>
  <c r="I92" i="97"/>
  <c r="H93" i="97"/>
  <c r="I93" i="97"/>
  <c r="H94" i="97"/>
  <c r="I94" i="97"/>
  <c r="H95" i="97"/>
  <c r="I95" i="97"/>
  <c r="H96" i="97"/>
  <c r="I96" i="97"/>
  <c r="H97" i="97"/>
  <c r="I97" i="97"/>
  <c r="H98" i="97"/>
  <c r="I98" i="97"/>
  <c r="H99" i="97"/>
  <c r="I99" i="97"/>
  <c r="H100" i="97"/>
  <c r="I100" i="97"/>
  <c r="H101" i="97"/>
  <c r="I101" i="97"/>
  <c r="H102" i="97"/>
  <c r="I102" i="97"/>
  <c r="H103" i="97"/>
  <c r="I103" i="97"/>
  <c r="H104" i="97"/>
  <c r="I104" i="97"/>
  <c r="H105" i="97"/>
  <c r="I105" i="97"/>
  <c r="H106" i="97"/>
  <c r="I106" i="97"/>
  <c r="H107" i="97"/>
  <c r="I107" i="97"/>
  <c r="H108" i="97"/>
  <c r="I108" i="97"/>
  <c r="H109" i="97"/>
  <c r="I109" i="97"/>
  <c r="H110" i="97"/>
  <c r="I110" i="97"/>
  <c r="H111" i="97"/>
  <c r="I111" i="97"/>
  <c r="H112" i="97"/>
  <c r="I112" i="97"/>
  <c r="H113" i="97"/>
  <c r="I113" i="97"/>
  <c r="H114" i="97"/>
  <c r="I114" i="97"/>
  <c r="H115" i="97"/>
  <c r="I115" i="97"/>
  <c r="H116" i="97"/>
  <c r="I116" i="97"/>
  <c r="H117" i="97"/>
  <c r="I117" i="97"/>
  <c r="H118" i="97"/>
  <c r="I118" i="97"/>
  <c r="H119" i="97"/>
  <c r="I119" i="97"/>
  <c r="H120" i="97"/>
  <c r="I120" i="97"/>
  <c r="H121" i="97"/>
  <c r="I121" i="97"/>
  <c r="H122" i="97"/>
  <c r="I122" i="97"/>
  <c r="H123" i="97"/>
  <c r="I123" i="97"/>
  <c r="H124" i="97"/>
  <c r="I124" i="97"/>
  <c r="H125" i="97"/>
  <c r="I125" i="97"/>
  <c r="H126" i="97"/>
  <c r="I126" i="97"/>
  <c r="H127" i="97"/>
  <c r="I127" i="97"/>
  <c r="H128" i="97"/>
  <c r="I128" i="97"/>
  <c r="H129" i="97"/>
  <c r="I129" i="97"/>
  <c r="H130" i="97"/>
  <c r="I130" i="97"/>
  <c r="H131" i="97"/>
  <c r="I131" i="97"/>
  <c r="H132" i="97"/>
  <c r="I132" i="97"/>
  <c r="H133" i="97"/>
  <c r="I133" i="97"/>
  <c r="H134" i="97"/>
  <c r="I134" i="97"/>
  <c r="H135" i="97"/>
  <c r="I135" i="97"/>
  <c r="H136" i="97"/>
  <c r="I136" i="97"/>
  <c r="H137" i="97"/>
  <c r="I137" i="97"/>
  <c r="H138" i="97"/>
  <c r="I138" i="97"/>
  <c r="H139" i="97"/>
  <c r="I139" i="97"/>
  <c r="H140" i="97"/>
  <c r="I140" i="97"/>
  <c r="H141" i="97"/>
  <c r="I141" i="97"/>
  <c r="H142" i="97"/>
  <c r="I142" i="97"/>
  <c r="H143" i="97"/>
  <c r="I143" i="97"/>
  <c r="H144" i="97"/>
  <c r="I144" i="97"/>
  <c r="H145" i="97"/>
  <c r="I145" i="97"/>
  <c r="H146" i="97"/>
  <c r="I146" i="97"/>
  <c r="H147" i="97"/>
  <c r="I147" i="97"/>
  <c r="H148" i="97"/>
  <c r="I148" i="97"/>
  <c r="H149" i="97"/>
  <c r="I149" i="97"/>
  <c r="H150" i="97"/>
  <c r="I150" i="97"/>
  <c r="H151" i="97"/>
  <c r="I151" i="97"/>
  <c r="H152" i="97"/>
  <c r="I152" i="97"/>
  <c r="H153" i="97"/>
  <c r="I153" i="97"/>
  <c r="H154" i="97"/>
  <c r="I154" i="97"/>
  <c r="H155" i="97"/>
  <c r="I155" i="97"/>
  <c r="H156" i="97"/>
  <c r="I156" i="97"/>
  <c r="H157" i="97"/>
  <c r="I157" i="97"/>
  <c r="H158" i="97"/>
  <c r="I158" i="97"/>
  <c r="H159" i="97"/>
  <c r="I159" i="97"/>
  <c r="H160" i="97"/>
  <c r="I160" i="97"/>
  <c r="H161" i="97"/>
  <c r="I161" i="97"/>
  <c r="H162" i="97"/>
  <c r="I162" i="97"/>
  <c r="H163" i="97"/>
  <c r="I163" i="97"/>
  <c r="H164" i="97"/>
  <c r="I164" i="97"/>
  <c r="H165" i="97"/>
  <c r="I165" i="97"/>
  <c r="H166" i="97"/>
  <c r="I166" i="97"/>
  <c r="H167" i="97"/>
  <c r="I167" i="97"/>
  <c r="H168" i="97"/>
  <c r="I168" i="97"/>
  <c r="H169" i="97"/>
  <c r="I169" i="97"/>
  <c r="H170" i="97"/>
  <c r="I170" i="97"/>
  <c r="H171" i="97"/>
  <c r="I171" i="97"/>
  <c r="H172" i="97"/>
  <c r="I172" i="97"/>
  <c r="H173" i="97"/>
  <c r="I173" i="97"/>
  <c r="H174" i="97"/>
  <c r="I174" i="97"/>
  <c r="H175" i="97"/>
  <c r="I175" i="97"/>
  <c r="H176" i="97"/>
  <c r="I176" i="97"/>
  <c r="H177" i="97"/>
  <c r="I177" i="97"/>
  <c r="H178" i="97"/>
  <c r="I178" i="97"/>
  <c r="H180" i="97"/>
  <c r="I180" i="97"/>
  <c r="H181" i="97"/>
  <c r="I181" i="97"/>
  <c r="H182" i="97"/>
  <c r="I182" i="97"/>
  <c r="H183" i="97"/>
  <c r="I183" i="97"/>
  <c r="H184" i="97"/>
  <c r="I184" i="97"/>
  <c r="H185" i="97"/>
  <c r="I185" i="97"/>
  <c r="H186" i="97"/>
  <c r="I186" i="97"/>
  <c r="H187" i="97"/>
  <c r="I187" i="97"/>
  <c r="H188" i="97"/>
  <c r="I188" i="97"/>
  <c r="H189" i="97"/>
  <c r="I189" i="97"/>
  <c r="H190" i="97"/>
  <c r="I190" i="97"/>
  <c r="H191" i="97"/>
  <c r="I191" i="97"/>
  <c r="H192" i="97"/>
  <c r="I192" i="97"/>
  <c r="H193" i="97"/>
  <c r="I193" i="97"/>
  <c r="H194" i="97"/>
  <c r="I194" i="97"/>
  <c r="H195" i="97"/>
  <c r="I195" i="97"/>
  <c r="H197" i="97"/>
  <c r="I197" i="97"/>
  <c r="H198" i="97"/>
  <c r="I198" i="97"/>
  <c r="H199" i="97"/>
  <c r="I199" i="97"/>
  <c r="H200" i="97"/>
  <c r="I200" i="97"/>
  <c r="H201" i="97"/>
  <c r="I201" i="97"/>
  <c r="H202" i="97"/>
  <c r="I202" i="97"/>
  <c r="H203" i="97"/>
  <c r="I203" i="97"/>
  <c r="H204" i="97"/>
  <c r="I204" i="97"/>
  <c r="H205" i="97"/>
  <c r="I205" i="97"/>
  <c r="H206" i="97"/>
  <c r="I206" i="97"/>
  <c r="H207" i="97"/>
  <c r="I207" i="97"/>
  <c r="H208" i="97"/>
  <c r="I208" i="97"/>
  <c r="H209" i="97"/>
  <c r="I209" i="97"/>
  <c r="H210" i="97"/>
  <c r="I210" i="97"/>
  <c r="H211" i="97"/>
  <c r="I211" i="97"/>
  <c r="H212" i="97"/>
  <c r="I212" i="97"/>
  <c r="H213" i="97"/>
  <c r="I213" i="97"/>
  <c r="H214" i="97"/>
  <c r="I214" i="97"/>
  <c r="H215" i="97"/>
  <c r="I215" i="97"/>
  <c r="H216" i="97"/>
  <c r="I216" i="97"/>
  <c r="H217" i="97"/>
  <c r="I217" i="97"/>
  <c r="H218" i="97"/>
  <c r="I218" i="97"/>
  <c r="H219" i="97"/>
  <c r="I219" i="97"/>
  <c r="H220" i="97"/>
  <c r="I220" i="97"/>
  <c r="H221" i="97"/>
  <c r="I221" i="97"/>
  <c r="H222" i="97"/>
  <c r="I222" i="97"/>
  <c r="H223" i="97"/>
  <c r="I223" i="97"/>
  <c r="H224" i="97"/>
  <c r="I224" i="97"/>
  <c r="H225" i="97"/>
  <c r="I225" i="97"/>
  <c r="H226" i="97"/>
  <c r="I226" i="97"/>
  <c r="H227" i="97"/>
  <c r="I227" i="97"/>
  <c r="H228" i="97"/>
  <c r="I228" i="97"/>
  <c r="H229" i="97"/>
  <c r="I229" i="97"/>
  <c r="H230" i="97"/>
  <c r="I230" i="97"/>
  <c r="H231" i="97"/>
  <c r="I231" i="97"/>
  <c r="H232" i="97"/>
  <c r="I232" i="97"/>
  <c r="H233" i="97"/>
  <c r="I233" i="97"/>
  <c r="H234" i="97"/>
  <c r="I234" i="97"/>
  <c r="H235" i="97"/>
  <c r="I235" i="97"/>
  <c r="H236" i="97"/>
  <c r="I236" i="97"/>
  <c r="H237" i="97"/>
  <c r="H238" i="97"/>
  <c r="I238" i="97"/>
  <c r="H239" i="97"/>
  <c r="I239" i="97"/>
  <c r="H241" i="97"/>
  <c r="I241" i="97"/>
  <c r="H242" i="97"/>
  <c r="I242" i="97"/>
  <c r="I243" i="97"/>
  <c r="I244" i="97"/>
  <c r="H245" i="97"/>
  <c r="I245" i="97"/>
  <c r="H246" i="97"/>
  <c r="I246" i="97"/>
  <c r="H247" i="97"/>
  <c r="I247" i="97"/>
  <c r="H248" i="97"/>
  <c r="I248" i="97"/>
  <c r="H249" i="97"/>
  <c r="I249" i="97"/>
  <c r="H250" i="97"/>
  <c r="I250" i="97"/>
  <c r="I251" i="97"/>
  <c r="I252" i="97"/>
  <c r="I253" i="97"/>
  <c r="H254" i="97"/>
  <c r="I255" i="97"/>
  <c r="H256" i="97"/>
  <c r="I257" i="97"/>
  <c r="I258" i="97"/>
  <c r="H5" i="96"/>
  <c r="I5" i="96"/>
  <c r="H6" i="96"/>
  <c r="I6" i="96"/>
  <c r="H7" i="96"/>
  <c r="I7" i="96"/>
  <c r="H9" i="96"/>
  <c r="I9" i="96"/>
  <c r="H10" i="96"/>
  <c r="I10" i="96"/>
  <c r="H11" i="96"/>
  <c r="I11" i="96"/>
  <c r="H12" i="96"/>
  <c r="I12" i="96"/>
  <c r="H14" i="96"/>
  <c r="I14" i="96"/>
  <c r="H15" i="96"/>
  <c r="I15" i="96"/>
  <c r="H16" i="96"/>
  <c r="I16" i="96"/>
  <c r="H17" i="96"/>
  <c r="I17" i="96"/>
  <c r="H18" i="96"/>
  <c r="I18" i="96"/>
  <c r="H19" i="96"/>
  <c r="I19" i="96"/>
  <c r="H20" i="96"/>
  <c r="I20" i="96"/>
  <c r="H21" i="96"/>
  <c r="I21" i="96"/>
  <c r="H22" i="96"/>
  <c r="I22" i="96"/>
  <c r="H23" i="96"/>
  <c r="I23" i="96"/>
  <c r="H25" i="96"/>
  <c r="I25" i="96"/>
  <c r="H26" i="96"/>
  <c r="I26" i="96"/>
  <c r="H27" i="96"/>
  <c r="I27" i="96"/>
  <c r="I28" i="96"/>
  <c r="H29" i="96"/>
  <c r="I29" i="96"/>
  <c r="H30" i="96"/>
  <c r="I30" i="96"/>
  <c r="H31" i="96"/>
  <c r="I31" i="96"/>
  <c r="H32" i="96"/>
  <c r="I32" i="96"/>
  <c r="H33" i="96"/>
  <c r="I33" i="96"/>
  <c r="H34" i="96"/>
  <c r="I34" i="96"/>
  <c r="H35" i="96"/>
  <c r="I35" i="96"/>
  <c r="H36" i="96"/>
  <c r="I36" i="96"/>
  <c r="H37" i="96"/>
  <c r="I37" i="96"/>
  <c r="H38" i="96"/>
  <c r="I38" i="96"/>
  <c r="H39" i="96"/>
  <c r="I39" i="96"/>
  <c r="I40" i="96"/>
  <c r="H41" i="96"/>
  <c r="I41" i="96"/>
  <c r="I42" i="96"/>
  <c r="H43" i="96"/>
  <c r="I43" i="96"/>
  <c r="I44" i="96"/>
  <c r="H45" i="96"/>
  <c r="I45" i="96"/>
  <c r="H46" i="96"/>
  <c r="I46" i="96"/>
  <c r="H47" i="96"/>
  <c r="I47" i="96"/>
  <c r="H48" i="96"/>
  <c r="I48" i="96"/>
  <c r="H49" i="96"/>
  <c r="I49" i="96"/>
  <c r="I50" i="96"/>
  <c r="H51" i="96"/>
  <c r="I51" i="96"/>
  <c r="H52" i="96"/>
  <c r="I52" i="96"/>
  <c r="I53" i="96"/>
  <c r="I54" i="96"/>
  <c r="H56" i="96"/>
  <c r="I56" i="96"/>
  <c r="H57" i="96"/>
  <c r="I57" i="96"/>
  <c r="H58" i="96"/>
  <c r="I58" i="96"/>
  <c r="H60" i="96"/>
  <c r="I60" i="96"/>
  <c r="H61" i="96"/>
  <c r="I61" i="96"/>
  <c r="H62" i="96"/>
  <c r="I62" i="96"/>
  <c r="I63" i="96"/>
  <c r="I64" i="96"/>
  <c r="H65" i="96"/>
  <c r="I65" i="96"/>
  <c r="I66" i="96"/>
  <c r="H68" i="96"/>
  <c r="I68" i="96"/>
  <c r="H69" i="96"/>
  <c r="I69" i="96"/>
  <c r="H70" i="96"/>
  <c r="H71" i="96"/>
  <c r="I71" i="96"/>
  <c r="H72" i="96"/>
  <c r="I72" i="96"/>
  <c r="H73" i="96"/>
  <c r="I73" i="96"/>
  <c r="H74" i="96"/>
  <c r="I74" i="96"/>
  <c r="H75" i="96"/>
  <c r="I75" i="96"/>
  <c r="H76" i="96"/>
  <c r="I76" i="96"/>
  <c r="H77" i="96"/>
  <c r="I77" i="96"/>
  <c r="I78" i="96"/>
  <c r="H79" i="96"/>
  <c r="I79" i="96"/>
  <c r="I80" i="96"/>
  <c r="H81" i="96"/>
  <c r="I81" i="96"/>
  <c r="H82" i="96"/>
  <c r="I82" i="96"/>
  <c r="H83" i="96"/>
  <c r="I83" i="96"/>
  <c r="I84" i="96"/>
  <c r="H85" i="96"/>
  <c r="I85" i="96"/>
  <c r="I86" i="96"/>
  <c r="H87" i="96"/>
  <c r="I87" i="96"/>
  <c r="I88" i="96"/>
  <c r="H89" i="96"/>
  <c r="I89" i="96"/>
  <c r="H90" i="96"/>
  <c r="I90" i="96"/>
  <c r="H91" i="96"/>
  <c r="I91" i="96"/>
  <c r="H92" i="96"/>
  <c r="H93" i="96"/>
  <c r="I93" i="96"/>
  <c r="I94" i="96"/>
  <c r="H95" i="96"/>
  <c r="I95" i="96"/>
  <c r="H96" i="96"/>
  <c r="I96" i="96"/>
  <c r="H97" i="96"/>
  <c r="I97" i="96"/>
  <c r="H98" i="96"/>
  <c r="I98" i="96"/>
  <c r="I99" i="96"/>
  <c r="I100" i="96"/>
  <c r="H101" i="96"/>
  <c r="I101" i="96"/>
  <c r="I102" i="96"/>
  <c r="I103" i="96"/>
  <c r="I104" i="96"/>
  <c r="I105" i="96"/>
  <c r="I106" i="96"/>
  <c r="I107" i="96"/>
  <c r="I108" i="96"/>
  <c r="I109" i="96"/>
  <c r="I110" i="96"/>
  <c r="I111" i="96"/>
  <c r="I112" i="96"/>
  <c r="I113" i="96"/>
  <c r="I114" i="96"/>
  <c r="I115" i="96"/>
  <c r="I116" i="96"/>
  <c r="I117" i="96"/>
  <c r="I118" i="96"/>
  <c r="I119" i="96"/>
  <c r="I120" i="96"/>
  <c r="I121" i="96"/>
  <c r="I122" i="96"/>
  <c r="I123" i="96"/>
  <c r="I124" i="96"/>
  <c r="H125" i="96"/>
  <c r="I125" i="96"/>
  <c r="I126" i="96"/>
  <c r="I127" i="96"/>
  <c r="I128" i="96"/>
  <c r="I129" i="96"/>
  <c r="I130" i="96"/>
  <c r="I131" i="96"/>
  <c r="H132" i="96"/>
  <c r="I132" i="96"/>
  <c r="I133" i="96"/>
  <c r="I134" i="96"/>
  <c r="H135" i="96"/>
  <c r="I135" i="96"/>
  <c r="I136" i="96"/>
  <c r="H137" i="96"/>
  <c r="I137" i="96"/>
  <c r="I138" i="96"/>
  <c r="I139" i="96"/>
  <c r="I140" i="96"/>
  <c r="I141" i="96"/>
  <c r="I142" i="96"/>
  <c r="I143" i="96"/>
  <c r="I144" i="96"/>
  <c r="I145" i="96"/>
  <c r="H146" i="96"/>
  <c r="I147" i="96"/>
  <c r="I148" i="96"/>
  <c r="I149" i="96"/>
  <c r="I150" i="96"/>
  <c r="I151" i="96"/>
  <c r="I152" i="96"/>
  <c r="I153" i="96"/>
  <c r="I154" i="96"/>
  <c r="I155" i="96"/>
  <c r="I156" i="96"/>
  <c r="H157" i="96"/>
  <c r="I157" i="96"/>
  <c r="H158" i="96"/>
  <c r="I158" i="96"/>
  <c r="I159" i="96"/>
  <c r="I4" i="96"/>
  <c r="H4" i="96"/>
  <c r="H5" i="94"/>
  <c r="I5" i="94"/>
  <c r="H6" i="94"/>
  <c r="I6" i="94"/>
  <c r="H7" i="94"/>
  <c r="I7" i="94"/>
  <c r="H8" i="94"/>
  <c r="I8" i="94"/>
  <c r="H9" i="94"/>
  <c r="I9" i="94"/>
  <c r="H10" i="94"/>
  <c r="I10" i="94"/>
  <c r="H11" i="94"/>
  <c r="I11" i="94"/>
  <c r="H12" i="94"/>
  <c r="I12" i="94"/>
  <c r="H13" i="94"/>
  <c r="I13" i="94"/>
  <c r="H14" i="94"/>
  <c r="I14" i="94"/>
  <c r="H15" i="94"/>
  <c r="I15" i="94"/>
  <c r="I16" i="94"/>
  <c r="H17" i="94"/>
  <c r="I17" i="94"/>
  <c r="H18" i="94"/>
  <c r="I18" i="94"/>
  <c r="H19" i="94"/>
  <c r="I19" i="94"/>
  <c r="H20" i="94"/>
  <c r="I20" i="94"/>
  <c r="H21" i="94"/>
  <c r="I21" i="94"/>
  <c r="H22" i="94"/>
  <c r="I22" i="94"/>
  <c r="H23" i="94"/>
  <c r="I23" i="94"/>
  <c r="H24" i="94"/>
  <c r="I24" i="94"/>
  <c r="H25" i="94"/>
  <c r="I25" i="94"/>
  <c r="H26" i="94"/>
  <c r="I26" i="94"/>
  <c r="H27" i="94"/>
  <c r="I27" i="94"/>
  <c r="H28" i="94"/>
  <c r="I28" i="94"/>
  <c r="H29" i="94"/>
  <c r="I29" i="94"/>
  <c r="H30" i="94"/>
  <c r="I30" i="94"/>
  <c r="H31" i="94"/>
  <c r="I31" i="94"/>
  <c r="H32" i="94"/>
  <c r="I32" i="94"/>
  <c r="H33" i="94"/>
  <c r="I33" i="94"/>
  <c r="H34" i="94"/>
  <c r="I34" i="94"/>
  <c r="H35" i="94"/>
  <c r="I35" i="94"/>
  <c r="H36" i="94"/>
  <c r="I36" i="94"/>
  <c r="H37" i="94"/>
  <c r="I37" i="94"/>
  <c r="H38" i="94"/>
  <c r="I38" i="94"/>
  <c r="H39" i="94"/>
  <c r="I39" i="94"/>
  <c r="H40" i="94"/>
  <c r="I40" i="94"/>
  <c r="H41" i="94"/>
  <c r="I41" i="94"/>
  <c r="H42" i="94"/>
  <c r="I42" i="94"/>
  <c r="H43" i="94"/>
  <c r="I43" i="94"/>
  <c r="H44" i="94"/>
  <c r="I44" i="94"/>
  <c r="H45" i="94"/>
  <c r="I45" i="94"/>
  <c r="H46" i="94"/>
  <c r="I46" i="94"/>
  <c r="H47" i="94"/>
  <c r="I47" i="94"/>
  <c r="H48" i="94"/>
  <c r="I48" i="94"/>
  <c r="H49" i="94"/>
  <c r="I49" i="94"/>
  <c r="H50" i="94"/>
  <c r="I50" i="94"/>
  <c r="H51" i="94"/>
  <c r="I51" i="94"/>
  <c r="H52" i="94"/>
  <c r="I52" i="94"/>
  <c r="H53" i="94"/>
  <c r="I53" i="94"/>
  <c r="H54" i="94"/>
  <c r="I54" i="94"/>
  <c r="H55" i="94"/>
  <c r="I55" i="94"/>
  <c r="H56" i="94"/>
  <c r="I56" i="94"/>
  <c r="H57" i="94"/>
  <c r="I57" i="94"/>
  <c r="H58" i="94"/>
  <c r="I58" i="94"/>
  <c r="H59" i="94"/>
  <c r="I59" i="94"/>
  <c r="H60" i="94"/>
  <c r="I60" i="94"/>
  <c r="H61" i="94"/>
  <c r="I61" i="94"/>
  <c r="H62" i="94"/>
  <c r="I62" i="94"/>
  <c r="H63" i="94"/>
  <c r="I63" i="94"/>
  <c r="H64" i="94"/>
  <c r="I64" i="94"/>
  <c r="H65" i="94"/>
  <c r="I65" i="94"/>
  <c r="H66" i="94"/>
  <c r="I66" i="94"/>
  <c r="H67" i="94"/>
  <c r="I67" i="94"/>
  <c r="H68" i="94"/>
  <c r="I68" i="94"/>
  <c r="H69" i="94"/>
  <c r="I69" i="94"/>
  <c r="H70" i="94"/>
  <c r="I70" i="94"/>
  <c r="H71" i="94"/>
  <c r="I71" i="94"/>
  <c r="H72" i="94"/>
  <c r="I72" i="94"/>
  <c r="H73" i="94"/>
  <c r="I73" i="94"/>
  <c r="H74" i="94"/>
  <c r="I74" i="94"/>
  <c r="H75" i="94"/>
  <c r="I75" i="94"/>
  <c r="H76" i="94"/>
  <c r="I76" i="94"/>
  <c r="H77" i="94"/>
  <c r="I77" i="94"/>
  <c r="H78" i="94"/>
  <c r="I78" i="94"/>
  <c r="H79" i="94"/>
  <c r="I79" i="94"/>
  <c r="H80" i="94"/>
  <c r="I80" i="94"/>
  <c r="H81" i="94"/>
  <c r="I81" i="94"/>
  <c r="H82" i="94"/>
  <c r="I82" i="94"/>
  <c r="H83" i="94"/>
  <c r="I83" i="94"/>
  <c r="H84" i="94"/>
  <c r="I84" i="94"/>
  <c r="H85" i="94"/>
  <c r="I85" i="94"/>
  <c r="H86" i="94"/>
  <c r="I86" i="94"/>
  <c r="H87" i="94"/>
  <c r="I87" i="94"/>
  <c r="H88" i="94"/>
  <c r="I88" i="94"/>
  <c r="H89" i="94"/>
  <c r="I89" i="94"/>
  <c r="H90" i="94"/>
  <c r="I90" i="94"/>
  <c r="H91" i="94"/>
  <c r="I91" i="94"/>
  <c r="I92" i="94"/>
  <c r="H93" i="94"/>
  <c r="I93" i="94"/>
  <c r="H94" i="94"/>
  <c r="I94" i="94"/>
  <c r="H95" i="94"/>
  <c r="I95" i="94"/>
  <c r="H96" i="94"/>
  <c r="I96" i="94"/>
  <c r="H97" i="94"/>
  <c r="H98" i="94"/>
  <c r="I98" i="94"/>
  <c r="I99" i="94"/>
  <c r="H100" i="94"/>
  <c r="H101" i="94"/>
  <c r="I101" i="94"/>
  <c r="H102" i="94"/>
  <c r="I102" i="94"/>
  <c r="H103" i="94"/>
  <c r="H104" i="94"/>
  <c r="I104" i="94"/>
  <c r="H105" i="94"/>
  <c r="I105" i="94"/>
  <c r="H106" i="94"/>
  <c r="I106" i="94"/>
  <c r="H107" i="94"/>
  <c r="I107" i="94"/>
  <c r="H108" i="94"/>
  <c r="I108" i="94"/>
  <c r="H109" i="94"/>
  <c r="I109" i="94"/>
  <c r="H110" i="94"/>
  <c r="I110" i="94"/>
  <c r="H111" i="94"/>
  <c r="I111" i="94"/>
  <c r="I112" i="94"/>
  <c r="H113" i="94"/>
  <c r="H115" i="94"/>
  <c r="I115" i="94"/>
  <c r="I116" i="94"/>
  <c r="H117" i="94"/>
  <c r="I117" i="94"/>
  <c r="I118" i="94"/>
  <c r="H119" i="94"/>
  <c r="I119" i="94"/>
  <c r="H120" i="94"/>
  <c r="I120" i="94"/>
  <c r="I121" i="94"/>
  <c r="H122" i="94"/>
  <c r="I122" i="94"/>
  <c r="H124" i="94"/>
  <c r="I124" i="94"/>
  <c r="I125" i="94"/>
  <c r="H126" i="94"/>
  <c r="I126" i="94"/>
  <c r="H127" i="94"/>
  <c r="I127" i="94"/>
  <c r="H128" i="94"/>
  <c r="I128" i="94"/>
  <c r="H129" i="94"/>
  <c r="I129" i="94"/>
  <c r="H130" i="94"/>
  <c r="I130" i="94"/>
  <c r="H133" i="94"/>
  <c r="I133" i="94"/>
  <c r="H134" i="94"/>
  <c r="I134" i="94"/>
  <c r="H135" i="94"/>
  <c r="I135" i="94"/>
  <c r="H136" i="94"/>
  <c r="I136" i="94"/>
  <c r="H138" i="94"/>
  <c r="H141" i="94"/>
  <c r="H142" i="94"/>
  <c r="H143" i="94"/>
  <c r="I143" i="94"/>
  <c r="H144" i="94"/>
  <c r="I144" i="94"/>
  <c r="H146" i="94"/>
  <c r="I146" i="94"/>
  <c r="H147" i="94"/>
  <c r="H149" i="94"/>
  <c r="I149" i="94"/>
  <c r="H150" i="94"/>
  <c r="I150" i="94"/>
  <c r="H151" i="94"/>
  <c r="I151" i="94"/>
  <c r="H152" i="94"/>
  <c r="H153" i="94"/>
  <c r="I154" i="94"/>
  <c r="I155" i="94"/>
  <c r="H156" i="94"/>
  <c r="I156" i="94"/>
  <c r="H157" i="94"/>
  <c r="I157" i="94"/>
  <c r="H158" i="94"/>
  <c r="I158" i="94"/>
  <c r="I159" i="94"/>
  <c r="I160" i="94"/>
  <c r="H161" i="94"/>
  <c r="I161" i="94"/>
  <c r="H162" i="94"/>
  <c r="I162" i="94"/>
  <c r="I163" i="94"/>
  <c r="H164" i="94"/>
  <c r="I165" i="94"/>
  <c r="H166" i="94"/>
  <c r="H167" i="94"/>
  <c r="H168" i="94"/>
  <c r="I169" i="94"/>
  <c r="H170" i="94"/>
  <c r="I171" i="94"/>
  <c r="H172" i="94"/>
  <c r="I172" i="94"/>
  <c r="H173" i="94"/>
  <c r="I174" i="94"/>
  <c r="I175" i="94"/>
  <c r="H176" i="94"/>
  <c r="H177" i="94"/>
  <c r="I177" i="94"/>
  <c r="H178" i="94"/>
  <c r="I179" i="94"/>
  <c r="H180" i="94"/>
  <c r="H181" i="94"/>
  <c r="I181" i="94"/>
  <c r="H182" i="94"/>
  <c r="I182" i="94"/>
  <c r="I4" i="94"/>
  <c r="H4" i="94"/>
  <c r="D183" i="94"/>
  <c r="F183" i="94"/>
  <c r="B183" i="94"/>
  <c r="H5" i="93"/>
  <c r="I5" i="93"/>
  <c r="H6" i="93"/>
  <c r="I6" i="93"/>
  <c r="H7" i="93"/>
  <c r="I7" i="93"/>
  <c r="H8" i="93"/>
  <c r="I8" i="93"/>
  <c r="H9" i="93"/>
  <c r="I9" i="93"/>
  <c r="H10" i="93"/>
  <c r="I10" i="93"/>
  <c r="H11" i="93"/>
  <c r="I11" i="93"/>
  <c r="H12" i="93"/>
  <c r="I12" i="93"/>
  <c r="H13" i="93"/>
  <c r="I13" i="93"/>
  <c r="H14" i="93"/>
  <c r="I14" i="93"/>
  <c r="H15" i="93"/>
  <c r="I15" i="93"/>
  <c r="H16" i="93"/>
  <c r="I16" i="93"/>
  <c r="H17" i="93"/>
  <c r="I17" i="93"/>
  <c r="H18" i="93"/>
  <c r="I18" i="93"/>
  <c r="H20" i="93"/>
  <c r="I20" i="93"/>
  <c r="H21" i="93"/>
  <c r="I21" i="93"/>
  <c r="H22" i="93"/>
  <c r="I22" i="93"/>
  <c r="H23" i="93"/>
  <c r="I23" i="93"/>
  <c r="H24" i="93"/>
  <c r="I24" i="93"/>
  <c r="H25" i="93"/>
  <c r="I25" i="93"/>
  <c r="H26" i="93"/>
  <c r="I26" i="93"/>
  <c r="H27" i="93"/>
  <c r="I27" i="93"/>
  <c r="H28" i="93"/>
  <c r="I28" i="93"/>
  <c r="H29" i="93"/>
  <c r="I29" i="93"/>
  <c r="H30" i="93"/>
  <c r="I30" i="93"/>
  <c r="H31" i="93"/>
  <c r="I31" i="93"/>
  <c r="H32" i="93"/>
  <c r="I32" i="93"/>
  <c r="H33" i="93"/>
  <c r="I33" i="93"/>
  <c r="H34" i="93"/>
  <c r="I34" i="93"/>
  <c r="H35" i="93"/>
  <c r="I35" i="93"/>
  <c r="H36" i="93"/>
  <c r="I36" i="93"/>
  <c r="H37" i="93"/>
  <c r="I37" i="93"/>
  <c r="H39" i="93"/>
  <c r="I39" i="93"/>
  <c r="H40" i="93"/>
  <c r="I40" i="93"/>
  <c r="H41" i="93"/>
  <c r="I41" i="93"/>
  <c r="H42" i="93"/>
  <c r="I42" i="93"/>
  <c r="H43" i="93"/>
  <c r="I43" i="93"/>
  <c r="H46" i="93"/>
  <c r="I46" i="93"/>
  <c r="H47" i="93"/>
  <c r="I47" i="93"/>
  <c r="H48" i="93"/>
  <c r="I48" i="93"/>
  <c r="H49" i="93"/>
  <c r="I49" i="93"/>
  <c r="H50" i="93"/>
  <c r="I50" i="93"/>
  <c r="H51" i="93"/>
  <c r="I51" i="93"/>
  <c r="H52" i="93"/>
  <c r="I52" i="93"/>
  <c r="I53" i="93"/>
  <c r="H54" i="93"/>
  <c r="I54" i="93"/>
  <c r="H55" i="93"/>
  <c r="I55" i="93"/>
  <c r="H56" i="93"/>
  <c r="I56" i="93"/>
  <c r="I57" i="93"/>
  <c r="H58" i="93"/>
  <c r="I58" i="93"/>
  <c r="H59" i="93"/>
  <c r="I59" i="93"/>
  <c r="H60" i="93"/>
  <c r="I60" i="93"/>
  <c r="H61" i="93"/>
  <c r="H62" i="93"/>
  <c r="I62" i="93"/>
  <c r="I63" i="93"/>
  <c r="H64" i="93"/>
  <c r="I64" i="93"/>
  <c r="H65" i="93"/>
  <c r="H66" i="93"/>
  <c r="I66" i="93"/>
  <c r="H67" i="93"/>
  <c r="I67" i="93"/>
  <c r="H68" i="93"/>
  <c r="I68" i="93"/>
  <c r="H70" i="93"/>
  <c r="I70" i="93"/>
  <c r="H71" i="93"/>
  <c r="I71" i="93"/>
  <c r="I72" i="93"/>
  <c r="H73" i="93"/>
  <c r="I73" i="93"/>
  <c r="H74" i="93"/>
  <c r="I74" i="93"/>
  <c r="H76" i="93"/>
  <c r="I76" i="93"/>
  <c r="H77" i="93"/>
  <c r="I77" i="93"/>
  <c r="I78" i="93"/>
  <c r="H79" i="93"/>
  <c r="H80" i="93"/>
  <c r="I80" i="93"/>
  <c r="H81" i="93"/>
  <c r="I81" i="93"/>
  <c r="H83" i="93"/>
  <c r="H84" i="93"/>
  <c r="I84" i="93"/>
  <c r="H85" i="93"/>
  <c r="I85" i="93"/>
  <c r="H86" i="93"/>
  <c r="I86" i="93"/>
  <c r="H87" i="93"/>
  <c r="I87" i="93"/>
  <c r="H88" i="93"/>
  <c r="I88" i="93"/>
  <c r="H89" i="93"/>
  <c r="I89" i="93"/>
  <c r="H90" i="93"/>
  <c r="I90" i="93"/>
  <c r="H91" i="93"/>
  <c r="H92" i="93"/>
  <c r="H93" i="93"/>
  <c r="H94" i="93"/>
  <c r="H95" i="93"/>
  <c r="I95" i="93"/>
  <c r="H96" i="93"/>
  <c r="I96" i="93"/>
  <c r="H97" i="93"/>
  <c r="I97" i="93"/>
  <c r="H98" i="93"/>
  <c r="I98" i="93"/>
  <c r="H101" i="93"/>
  <c r="I101" i="93"/>
  <c r="H103" i="93"/>
  <c r="I103" i="93"/>
  <c r="H104" i="93"/>
  <c r="I106" i="93"/>
  <c r="H107" i="93"/>
  <c r="I108" i="93"/>
  <c r="H109" i="93"/>
  <c r="I110" i="93"/>
  <c r="H111" i="93"/>
  <c r="I111" i="93"/>
  <c r="I112" i="93"/>
  <c r="H113" i="93"/>
  <c r="I114" i="93"/>
  <c r="H115" i="93"/>
  <c r="I116" i="93"/>
  <c r="H117" i="93"/>
  <c r="I117" i="93"/>
  <c r="I118" i="93"/>
  <c r="H119" i="93"/>
  <c r="H120" i="93"/>
  <c r="I120" i="93"/>
  <c r="H121" i="93"/>
  <c r="I121" i="93"/>
  <c r="H122" i="93"/>
  <c r="I122" i="93"/>
  <c r="I123" i="93"/>
  <c r="H124" i="93"/>
  <c r="I124" i="93"/>
  <c r="I125" i="93"/>
  <c r="H126" i="93"/>
  <c r="H127" i="93"/>
  <c r="I127" i="93"/>
  <c r="I128" i="93"/>
  <c r="I129" i="93"/>
  <c r="I130" i="93"/>
  <c r="H131" i="93"/>
  <c r="H132" i="93"/>
  <c r="H133" i="93"/>
  <c r="H134" i="93"/>
  <c r="H135" i="93"/>
  <c r="I135" i="93"/>
  <c r="I136" i="93"/>
  <c r="H137" i="93"/>
  <c r="H138" i="93"/>
  <c r="I138" i="93"/>
  <c r="I139" i="93"/>
  <c r="I140" i="93"/>
  <c r="H141" i="93"/>
  <c r="I141" i="93"/>
  <c r="D252" i="92"/>
  <c r="D253" i="92"/>
  <c r="D254" i="92"/>
  <c r="D255" i="92"/>
  <c r="C256" i="92"/>
  <c r="B256" i="92"/>
  <c r="D166" i="91"/>
  <c r="D167" i="91"/>
  <c r="D168" i="91"/>
  <c r="D169" i="91"/>
  <c r="D170" i="91"/>
  <c r="D171" i="91"/>
  <c r="D172" i="91"/>
  <c r="D173" i="91"/>
  <c r="D174" i="91"/>
  <c r="B175" i="91"/>
  <c r="C175" i="91"/>
  <c r="B26" i="89"/>
  <c r="D8" i="89"/>
  <c r="F6" i="89"/>
  <c r="D26" i="88"/>
  <c r="F6" i="88"/>
  <c r="B6" i="88"/>
  <c r="B14" i="87"/>
  <c r="H183" i="94" l="1"/>
  <c r="I183" i="94"/>
  <c r="I13" i="105"/>
  <c r="H13" i="105"/>
  <c r="B269" i="129" l="1"/>
  <c r="C28" i="129" s="1"/>
  <c r="E269" i="129"/>
  <c r="F27" i="129" s="1"/>
  <c r="E18" i="129"/>
  <c r="F6" i="129" s="1"/>
  <c r="B18" i="129"/>
  <c r="C10" i="129" s="1"/>
  <c r="F59" i="114"/>
  <c r="F92" i="114"/>
  <c r="F131" i="114"/>
  <c r="F171" i="114"/>
  <c r="F204" i="114"/>
  <c r="F243" i="114"/>
  <c r="F276" i="114"/>
  <c r="C69" i="114"/>
  <c r="C101" i="114"/>
  <c r="C133" i="114"/>
  <c r="C165" i="114"/>
  <c r="C197" i="114"/>
  <c r="C229" i="114"/>
  <c r="B294" i="114"/>
  <c r="C291" i="114" s="1"/>
  <c r="E294" i="114"/>
  <c r="F67" i="114" s="1"/>
  <c r="M224" i="113"/>
  <c r="N4" i="113" s="1"/>
  <c r="Q8" i="113"/>
  <c r="Q31" i="113"/>
  <c r="Q54" i="113"/>
  <c r="Q72" i="113"/>
  <c r="Q95" i="113"/>
  <c r="Q118" i="113"/>
  <c r="Q136" i="113"/>
  <c r="Q151" i="113"/>
  <c r="Q159" i="113"/>
  <c r="Q174" i="113"/>
  <c r="Q182" i="113"/>
  <c r="Q192" i="113"/>
  <c r="Q200" i="113"/>
  <c r="Q215" i="113"/>
  <c r="Q223" i="113"/>
  <c r="P224" i="113"/>
  <c r="Q9" i="113" s="1"/>
  <c r="D9" i="112"/>
  <c r="M260" i="111"/>
  <c r="N260" i="111"/>
  <c r="L260" i="111"/>
  <c r="H260" i="111"/>
  <c r="I260" i="111"/>
  <c r="G260" i="111"/>
  <c r="C4" i="103"/>
  <c r="C5" i="103"/>
  <c r="C6" i="103"/>
  <c r="C7" i="103"/>
  <c r="C8" i="103"/>
  <c r="C9" i="103"/>
  <c r="C10" i="103"/>
  <c r="C11" i="103"/>
  <c r="C12" i="103"/>
  <c r="F6" i="112"/>
  <c r="E6" i="112"/>
  <c r="F4" i="112"/>
  <c r="E4" i="112"/>
  <c r="F3" i="112"/>
  <c r="E3" i="112"/>
  <c r="E5" i="109"/>
  <c r="F5" i="109"/>
  <c r="F3" i="109"/>
  <c r="E3" i="109"/>
  <c r="F160" i="96"/>
  <c r="H4" i="87"/>
  <c r="E14" i="83"/>
  <c r="B235" i="108"/>
  <c r="C235" i="108"/>
  <c r="D235" i="108"/>
  <c r="G235" i="108"/>
  <c r="H235" i="108"/>
  <c r="I235" i="108"/>
  <c r="L235" i="108"/>
  <c r="M235" i="108"/>
  <c r="N235" i="108"/>
  <c r="E5" i="103"/>
  <c r="C4" i="101"/>
  <c r="F4" i="101"/>
  <c r="C5" i="101"/>
  <c r="F5" i="101"/>
  <c r="C6" i="101"/>
  <c r="F6" i="101"/>
  <c r="C7" i="101"/>
  <c r="F7" i="101"/>
  <c r="C8" i="101"/>
  <c r="F8" i="101"/>
  <c r="C9" i="101"/>
  <c r="F9" i="101"/>
  <c r="C10" i="101"/>
  <c r="F10" i="101"/>
  <c r="C11" i="101"/>
  <c r="F11" i="101"/>
  <c r="C12" i="101"/>
  <c r="F12" i="101"/>
  <c r="C13" i="101"/>
  <c r="F13" i="101"/>
  <c r="B14" i="101"/>
  <c r="C14" i="101" s="1"/>
  <c r="E14" i="101"/>
  <c r="F14" i="101"/>
  <c r="Q3" i="113" l="1"/>
  <c r="Q206" i="113"/>
  <c r="Q183" i="113"/>
  <c r="Q160" i="113"/>
  <c r="Q142" i="113"/>
  <c r="Q119" i="113"/>
  <c r="Q96" i="113"/>
  <c r="Q78" i="113"/>
  <c r="Q55" i="113"/>
  <c r="Q32" i="113"/>
  <c r="Q14" i="113"/>
  <c r="C230" i="114"/>
  <c r="C198" i="114"/>
  <c r="C166" i="114"/>
  <c r="C134" i="114"/>
  <c r="C102" i="114"/>
  <c r="C70" i="114"/>
  <c r="F283" i="114"/>
  <c r="F244" i="114"/>
  <c r="F211" i="114"/>
  <c r="F172" i="114"/>
  <c r="F139" i="114"/>
  <c r="F99" i="114"/>
  <c r="F60" i="114"/>
  <c r="Q222" i="113"/>
  <c r="Q199" i="113"/>
  <c r="Q176" i="113"/>
  <c r="Q158" i="113"/>
  <c r="Q135" i="113"/>
  <c r="Q112" i="113"/>
  <c r="Q94" i="113"/>
  <c r="Q71" i="113"/>
  <c r="Q48" i="113"/>
  <c r="Q30" i="113"/>
  <c r="Q7" i="113"/>
  <c r="C222" i="114"/>
  <c r="C190" i="114"/>
  <c r="C158" i="114"/>
  <c r="C126" i="114"/>
  <c r="C94" i="114"/>
  <c r="C62" i="114"/>
  <c r="F275" i="114"/>
  <c r="F236" i="114"/>
  <c r="F203" i="114"/>
  <c r="F163" i="114"/>
  <c r="F124" i="114"/>
  <c r="F91" i="114"/>
  <c r="F52" i="114"/>
  <c r="Q216" i="113"/>
  <c r="Q198" i="113"/>
  <c r="Q175" i="113"/>
  <c r="Q152" i="113"/>
  <c r="Q134" i="113"/>
  <c r="Q111" i="113"/>
  <c r="Q88" i="113"/>
  <c r="Q70" i="113"/>
  <c r="Q47" i="113"/>
  <c r="Q24" i="113"/>
  <c r="Q6" i="113"/>
  <c r="C221" i="114"/>
  <c r="C189" i="114"/>
  <c r="C157" i="114"/>
  <c r="C125" i="114"/>
  <c r="C93" i="114"/>
  <c r="C61" i="114"/>
  <c r="F268" i="114"/>
  <c r="F235" i="114"/>
  <c r="F195" i="114"/>
  <c r="F156" i="114"/>
  <c r="F123" i="114"/>
  <c r="F84" i="114"/>
  <c r="F51" i="114"/>
  <c r="Q128" i="113"/>
  <c r="Q110" i="113"/>
  <c r="Q87" i="113"/>
  <c r="Q64" i="113"/>
  <c r="Q46" i="113"/>
  <c r="Q23" i="113"/>
  <c r="C214" i="114"/>
  <c r="C182" i="114"/>
  <c r="C150" i="114"/>
  <c r="C118" i="114"/>
  <c r="C86" i="114"/>
  <c r="C54" i="114"/>
  <c r="F267" i="114"/>
  <c r="F227" i="114"/>
  <c r="F188" i="114"/>
  <c r="F155" i="114"/>
  <c r="F116" i="114"/>
  <c r="F83" i="114"/>
  <c r="Q214" i="113"/>
  <c r="Q191" i="113"/>
  <c r="Q168" i="113"/>
  <c r="Q150" i="113"/>
  <c r="Q127" i="113"/>
  <c r="Q104" i="113"/>
  <c r="Q86" i="113"/>
  <c r="Q63" i="113"/>
  <c r="Q40" i="113"/>
  <c r="Q22" i="113"/>
  <c r="C293" i="114"/>
  <c r="C213" i="114"/>
  <c r="C181" i="114"/>
  <c r="C149" i="114"/>
  <c r="C117" i="114"/>
  <c r="C85" i="114"/>
  <c r="C53" i="114"/>
  <c r="F259" i="114"/>
  <c r="F220" i="114"/>
  <c r="F187" i="114"/>
  <c r="F148" i="114"/>
  <c r="F115" i="114"/>
  <c r="F76" i="114"/>
  <c r="Q208" i="113"/>
  <c r="Q190" i="113"/>
  <c r="Q167" i="113"/>
  <c r="Q144" i="113"/>
  <c r="Q126" i="113"/>
  <c r="Q103" i="113"/>
  <c r="Q80" i="113"/>
  <c r="Q62" i="113"/>
  <c r="Q39" i="113"/>
  <c r="Q16" i="113"/>
  <c r="C206" i="114"/>
  <c r="C174" i="114"/>
  <c r="C142" i="114"/>
  <c r="C110" i="114"/>
  <c r="C78" i="114"/>
  <c r="F291" i="114"/>
  <c r="F252" i="114"/>
  <c r="F219" i="114"/>
  <c r="F180" i="114"/>
  <c r="F147" i="114"/>
  <c r="F108" i="114"/>
  <c r="F75" i="114"/>
  <c r="Q207" i="113"/>
  <c r="Q184" i="113"/>
  <c r="Q166" i="113"/>
  <c r="Q143" i="113"/>
  <c r="Q120" i="113"/>
  <c r="Q102" i="113"/>
  <c r="Q79" i="113"/>
  <c r="Q56" i="113"/>
  <c r="Q38" i="113"/>
  <c r="Q15" i="113"/>
  <c r="C205" i="114"/>
  <c r="C173" i="114"/>
  <c r="C141" i="114"/>
  <c r="C109" i="114"/>
  <c r="C77" i="114"/>
  <c r="F284" i="114"/>
  <c r="F251" i="114"/>
  <c r="F212" i="114"/>
  <c r="F179" i="114"/>
  <c r="F140" i="114"/>
  <c r="F107" i="114"/>
  <c r="F53" i="114"/>
  <c r="F61" i="114"/>
  <c r="F69" i="114"/>
  <c r="F77" i="114"/>
  <c r="F85" i="114"/>
  <c r="F93" i="114"/>
  <c r="F101" i="114"/>
  <c r="F109" i="114"/>
  <c r="F117" i="114"/>
  <c r="F125" i="114"/>
  <c r="F133" i="114"/>
  <c r="F141" i="114"/>
  <c r="F149" i="114"/>
  <c r="F157" i="114"/>
  <c r="F165" i="114"/>
  <c r="F173" i="114"/>
  <c r="F181" i="114"/>
  <c r="F189" i="114"/>
  <c r="F197" i="114"/>
  <c r="F205" i="114"/>
  <c r="F213" i="114"/>
  <c r="F221" i="114"/>
  <c r="F229" i="114"/>
  <c r="F237" i="114"/>
  <c r="F245" i="114"/>
  <c r="F253" i="114"/>
  <c r="F261" i="114"/>
  <c r="F269" i="114"/>
  <c r="F277" i="114"/>
  <c r="F285" i="114"/>
  <c r="F293" i="114"/>
  <c r="F54" i="114"/>
  <c r="F62" i="114"/>
  <c r="F70" i="114"/>
  <c r="F78" i="114"/>
  <c r="F86" i="114"/>
  <c r="F94" i="114"/>
  <c r="F102" i="114"/>
  <c r="F110" i="114"/>
  <c r="F118" i="114"/>
  <c r="F126" i="114"/>
  <c r="F134" i="114"/>
  <c r="F142" i="114"/>
  <c r="F150" i="114"/>
  <c r="F158" i="114"/>
  <c r="F166" i="114"/>
  <c r="F174" i="114"/>
  <c r="F182" i="114"/>
  <c r="F190" i="114"/>
  <c r="F198" i="114"/>
  <c r="F206" i="114"/>
  <c r="F214" i="114"/>
  <c r="F222" i="114"/>
  <c r="F230" i="114"/>
  <c r="F238" i="114"/>
  <c r="F246" i="114"/>
  <c r="F254" i="114"/>
  <c r="F262" i="114"/>
  <c r="F270" i="114"/>
  <c r="F278" i="114"/>
  <c r="F286" i="114"/>
  <c r="F48" i="114"/>
  <c r="F55" i="114"/>
  <c r="F63" i="114"/>
  <c r="F71" i="114"/>
  <c r="F79" i="114"/>
  <c r="F87" i="114"/>
  <c r="F95" i="114"/>
  <c r="F103" i="114"/>
  <c r="F111" i="114"/>
  <c r="F119" i="114"/>
  <c r="F127" i="114"/>
  <c r="F135" i="114"/>
  <c r="F143" i="114"/>
  <c r="F151" i="114"/>
  <c r="F159" i="114"/>
  <c r="F167" i="114"/>
  <c r="F175" i="114"/>
  <c r="F183" i="114"/>
  <c r="F191" i="114"/>
  <c r="F199" i="114"/>
  <c r="F207" i="114"/>
  <c r="F215" i="114"/>
  <c r="F223" i="114"/>
  <c r="F231" i="114"/>
  <c r="F239" i="114"/>
  <c r="F247" i="114"/>
  <c r="F255" i="114"/>
  <c r="F263" i="114"/>
  <c r="F271" i="114"/>
  <c r="F279" i="114"/>
  <c r="F287" i="114"/>
  <c r="F56" i="114"/>
  <c r="F64" i="114"/>
  <c r="F72" i="114"/>
  <c r="F80" i="114"/>
  <c r="F88" i="114"/>
  <c r="F96" i="114"/>
  <c r="F104" i="114"/>
  <c r="F112" i="114"/>
  <c r="F120" i="114"/>
  <c r="F128" i="114"/>
  <c r="F136" i="114"/>
  <c r="F144" i="114"/>
  <c r="F152" i="114"/>
  <c r="F160" i="114"/>
  <c r="F168" i="114"/>
  <c r="F176" i="114"/>
  <c r="F184" i="114"/>
  <c r="F192" i="114"/>
  <c r="F200" i="114"/>
  <c r="F208" i="114"/>
  <c r="F216" i="114"/>
  <c r="F224" i="114"/>
  <c r="F232" i="114"/>
  <c r="F240" i="114"/>
  <c r="F248" i="114"/>
  <c r="F256" i="114"/>
  <c r="F264" i="114"/>
  <c r="F272" i="114"/>
  <c r="F280" i="114"/>
  <c r="F288" i="114"/>
  <c r="F49" i="114"/>
  <c r="F57" i="114"/>
  <c r="F65" i="114"/>
  <c r="F73" i="114"/>
  <c r="F81" i="114"/>
  <c r="F89" i="114"/>
  <c r="F97" i="114"/>
  <c r="F105" i="114"/>
  <c r="F113" i="114"/>
  <c r="F121" i="114"/>
  <c r="F129" i="114"/>
  <c r="F137" i="114"/>
  <c r="F145" i="114"/>
  <c r="F153" i="114"/>
  <c r="F161" i="114"/>
  <c r="F169" i="114"/>
  <c r="F177" i="114"/>
  <c r="F185" i="114"/>
  <c r="F193" i="114"/>
  <c r="F201" i="114"/>
  <c r="F209" i="114"/>
  <c r="F217" i="114"/>
  <c r="F225" i="114"/>
  <c r="F233" i="114"/>
  <c r="F241" i="114"/>
  <c r="F249" i="114"/>
  <c r="F257" i="114"/>
  <c r="F265" i="114"/>
  <c r="F273" i="114"/>
  <c r="F281" i="114"/>
  <c r="F289" i="114"/>
  <c r="F50" i="114"/>
  <c r="F58" i="114"/>
  <c r="F66" i="114"/>
  <c r="F74" i="114"/>
  <c r="F82" i="114"/>
  <c r="F90" i="114"/>
  <c r="F98" i="114"/>
  <c r="F106" i="114"/>
  <c r="F114" i="114"/>
  <c r="F122" i="114"/>
  <c r="F130" i="114"/>
  <c r="F138" i="114"/>
  <c r="F146" i="114"/>
  <c r="F154" i="114"/>
  <c r="F162" i="114"/>
  <c r="F170" i="114"/>
  <c r="F178" i="114"/>
  <c r="F186" i="114"/>
  <c r="F194" i="114"/>
  <c r="F202" i="114"/>
  <c r="F210" i="114"/>
  <c r="F218" i="114"/>
  <c r="F226" i="114"/>
  <c r="F234" i="114"/>
  <c r="F242" i="114"/>
  <c r="F250" i="114"/>
  <c r="F258" i="114"/>
  <c r="F266" i="114"/>
  <c r="F274" i="114"/>
  <c r="F282" i="114"/>
  <c r="F290" i="114"/>
  <c r="F292" i="114"/>
  <c r="F260" i="114"/>
  <c r="F228" i="114"/>
  <c r="F196" i="114"/>
  <c r="F164" i="114"/>
  <c r="F132" i="114"/>
  <c r="F100" i="114"/>
  <c r="F68" i="114"/>
  <c r="Q221" i="113"/>
  <c r="Q213" i="113"/>
  <c r="Q205" i="113"/>
  <c r="Q197" i="113"/>
  <c r="Q189" i="113"/>
  <c r="Q181" i="113"/>
  <c r="Q173" i="113"/>
  <c r="Q165" i="113"/>
  <c r="Q157" i="113"/>
  <c r="Q149" i="113"/>
  <c r="Q141" i="113"/>
  <c r="Q133" i="113"/>
  <c r="Q125" i="113"/>
  <c r="Q117" i="113"/>
  <c r="Q109" i="113"/>
  <c r="Q101" i="113"/>
  <c r="Q93" i="113"/>
  <c r="Q85" i="113"/>
  <c r="Q77" i="113"/>
  <c r="Q69" i="113"/>
  <c r="Q61" i="113"/>
  <c r="Q53" i="113"/>
  <c r="Q45" i="113"/>
  <c r="Q37" i="113"/>
  <c r="Q29" i="113"/>
  <c r="Q21" i="113"/>
  <c r="Q13" i="113"/>
  <c r="Q5" i="113"/>
  <c r="C228" i="114"/>
  <c r="C220" i="114"/>
  <c r="C212" i="114"/>
  <c r="C204" i="114"/>
  <c r="C196" i="114"/>
  <c r="C188" i="114"/>
  <c r="C180" i="114"/>
  <c r="C172" i="114"/>
  <c r="C164" i="114"/>
  <c r="C156" i="114"/>
  <c r="C148" i="114"/>
  <c r="C140" i="114"/>
  <c r="C132" i="114"/>
  <c r="C124" i="114"/>
  <c r="C116" i="114"/>
  <c r="C108" i="114"/>
  <c r="C100" i="114"/>
  <c r="C92" i="114"/>
  <c r="C84" i="114"/>
  <c r="C76" i="114"/>
  <c r="C68" i="114"/>
  <c r="C60" i="114"/>
  <c r="C52" i="114"/>
  <c r="Q220" i="113"/>
  <c r="Q212" i="113"/>
  <c r="Q204" i="113"/>
  <c r="Q196" i="113"/>
  <c r="Q188" i="113"/>
  <c r="Q180" i="113"/>
  <c r="Q172" i="113"/>
  <c r="Q164" i="113"/>
  <c r="Q156" i="113"/>
  <c r="Q148" i="113"/>
  <c r="Q140" i="113"/>
  <c r="Q132" i="113"/>
  <c r="Q124" i="113"/>
  <c r="Q116" i="113"/>
  <c r="Q108" i="113"/>
  <c r="Q100" i="113"/>
  <c r="Q92" i="113"/>
  <c r="Q84" i="113"/>
  <c r="Q76" i="113"/>
  <c r="Q68" i="113"/>
  <c r="Q60" i="113"/>
  <c r="Q52" i="113"/>
  <c r="Q44" i="113"/>
  <c r="Q36" i="113"/>
  <c r="Q28" i="113"/>
  <c r="Q20" i="113"/>
  <c r="Q12" i="113"/>
  <c r="Q4" i="113"/>
  <c r="C48" i="114"/>
  <c r="C227" i="114"/>
  <c r="C219" i="114"/>
  <c r="C211" i="114"/>
  <c r="C203" i="114"/>
  <c r="C195" i="114"/>
  <c r="C187" i="114"/>
  <c r="C179" i="114"/>
  <c r="C171" i="114"/>
  <c r="C163" i="114"/>
  <c r="C155" i="114"/>
  <c r="C147" i="114"/>
  <c r="C139" i="114"/>
  <c r="C131" i="114"/>
  <c r="C123" i="114"/>
  <c r="C115" i="114"/>
  <c r="C107" i="114"/>
  <c r="C99" i="114"/>
  <c r="C91" i="114"/>
  <c r="C83" i="114"/>
  <c r="C75" i="114"/>
  <c r="C67" i="114"/>
  <c r="C59" i="114"/>
  <c r="C51" i="114"/>
  <c r="Q219" i="113"/>
  <c r="Q211" i="113"/>
  <c r="Q203" i="113"/>
  <c r="Q195" i="113"/>
  <c r="Q187" i="113"/>
  <c r="Q179" i="113"/>
  <c r="Q171" i="113"/>
  <c r="Q163" i="113"/>
  <c r="Q155" i="113"/>
  <c r="Q147" i="113"/>
  <c r="Q139" i="113"/>
  <c r="Q131" i="113"/>
  <c r="Q123" i="113"/>
  <c r="Q115" i="113"/>
  <c r="Q107" i="113"/>
  <c r="Q99" i="113"/>
  <c r="Q91" i="113"/>
  <c r="Q83" i="113"/>
  <c r="Q75" i="113"/>
  <c r="Q67" i="113"/>
  <c r="Q59" i="113"/>
  <c r="Q51" i="113"/>
  <c r="Q43" i="113"/>
  <c r="Q35" i="113"/>
  <c r="Q27" i="113"/>
  <c r="Q19" i="113"/>
  <c r="Q11" i="113"/>
  <c r="N221" i="113"/>
  <c r="C234" i="114"/>
  <c r="C226" i="114"/>
  <c r="C218" i="114"/>
  <c r="C210" i="114"/>
  <c r="C202" i="114"/>
  <c r="C194" i="114"/>
  <c r="C186" i="114"/>
  <c r="C178" i="114"/>
  <c r="C170" i="114"/>
  <c r="C162" i="114"/>
  <c r="C154" i="114"/>
  <c r="C146" i="114"/>
  <c r="C138" i="114"/>
  <c r="C130" i="114"/>
  <c r="C122" i="114"/>
  <c r="C114" i="114"/>
  <c r="C106" i="114"/>
  <c r="C98" i="114"/>
  <c r="C90" i="114"/>
  <c r="C82" i="114"/>
  <c r="C74" i="114"/>
  <c r="C66" i="114"/>
  <c r="C58" i="114"/>
  <c r="C50" i="114"/>
  <c r="Q218" i="113"/>
  <c r="Q210" i="113"/>
  <c r="Q202" i="113"/>
  <c r="Q194" i="113"/>
  <c r="Q186" i="113"/>
  <c r="Q178" i="113"/>
  <c r="Q170" i="113"/>
  <c r="Q162" i="113"/>
  <c r="Q154" i="113"/>
  <c r="Q146" i="113"/>
  <c r="Q138" i="113"/>
  <c r="Q130" i="113"/>
  <c r="Q122" i="113"/>
  <c r="Q114" i="113"/>
  <c r="Q106" i="113"/>
  <c r="Q98" i="113"/>
  <c r="Q90" i="113"/>
  <c r="Q82" i="113"/>
  <c r="Q74" i="113"/>
  <c r="Q66" i="113"/>
  <c r="Q58" i="113"/>
  <c r="Q50" i="113"/>
  <c r="Q42" i="113"/>
  <c r="Q34" i="113"/>
  <c r="Q26" i="113"/>
  <c r="Q18" i="113"/>
  <c r="Q10" i="113"/>
  <c r="N205" i="113"/>
  <c r="C233" i="114"/>
  <c r="C225" i="114"/>
  <c r="C217" i="114"/>
  <c r="C209" i="114"/>
  <c r="C201" i="114"/>
  <c r="C193" i="114"/>
  <c r="C185" i="114"/>
  <c r="C177" i="114"/>
  <c r="C169" i="114"/>
  <c r="C161" i="114"/>
  <c r="C153" i="114"/>
  <c r="C145" i="114"/>
  <c r="C137" i="114"/>
  <c r="C129" i="114"/>
  <c r="C121" i="114"/>
  <c r="C113" i="114"/>
  <c r="C105" i="114"/>
  <c r="C97" i="114"/>
  <c r="C89" i="114"/>
  <c r="C81" i="114"/>
  <c r="C73" i="114"/>
  <c r="C65" i="114"/>
  <c r="C57" i="114"/>
  <c r="C49" i="114"/>
  <c r="Q217" i="113"/>
  <c r="Q209" i="113"/>
  <c r="Q201" i="113"/>
  <c r="Q193" i="113"/>
  <c r="Q185" i="113"/>
  <c r="Q177" i="113"/>
  <c r="Q169" i="113"/>
  <c r="Q161" i="113"/>
  <c r="Q153" i="113"/>
  <c r="Q145" i="113"/>
  <c r="Q137" i="113"/>
  <c r="Q129" i="113"/>
  <c r="Q121" i="113"/>
  <c r="Q113" i="113"/>
  <c r="Q105" i="113"/>
  <c r="Q97" i="113"/>
  <c r="Q89" i="113"/>
  <c r="Q81" i="113"/>
  <c r="Q73" i="113"/>
  <c r="Q65" i="113"/>
  <c r="Q57" i="113"/>
  <c r="Q49" i="113"/>
  <c r="Q41" i="113"/>
  <c r="Q33" i="113"/>
  <c r="Q25" i="113"/>
  <c r="Q17" i="113"/>
  <c r="N197" i="113"/>
  <c r="C232" i="114"/>
  <c r="C224" i="114"/>
  <c r="C216" i="114"/>
  <c r="C208" i="114"/>
  <c r="C200" i="114"/>
  <c r="C192" i="114"/>
  <c r="C184" i="114"/>
  <c r="C176" i="114"/>
  <c r="C168" i="114"/>
  <c r="C160" i="114"/>
  <c r="C152" i="114"/>
  <c r="C144" i="114"/>
  <c r="C136" i="114"/>
  <c r="C128" i="114"/>
  <c r="C120" i="114"/>
  <c r="C112" i="114"/>
  <c r="C104" i="114"/>
  <c r="C96" i="114"/>
  <c r="C88" i="114"/>
  <c r="C80" i="114"/>
  <c r="C72" i="114"/>
  <c r="C64" i="114"/>
  <c r="C56" i="114"/>
  <c r="C231" i="114"/>
  <c r="C223" i="114"/>
  <c r="C215" i="114"/>
  <c r="C207" i="114"/>
  <c r="C199" i="114"/>
  <c r="C191" i="114"/>
  <c r="C183" i="114"/>
  <c r="C175" i="114"/>
  <c r="C167" i="114"/>
  <c r="C159" i="114"/>
  <c r="C151" i="114"/>
  <c r="C143" i="114"/>
  <c r="C135" i="114"/>
  <c r="C127" i="114"/>
  <c r="C119" i="114"/>
  <c r="C111" i="114"/>
  <c r="C103" i="114"/>
  <c r="C95" i="114"/>
  <c r="C87" i="114"/>
  <c r="C79" i="114"/>
  <c r="C71" i="114"/>
  <c r="C63" i="114"/>
  <c r="C55" i="114"/>
  <c r="C43" i="129"/>
  <c r="C179" i="129"/>
  <c r="C171" i="129"/>
  <c r="C115" i="129"/>
  <c r="C51" i="129"/>
  <c r="F264" i="129"/>
  <c r="F231" i="129"/>
  <c r="F57" i="129"/>
  <c r="C131" i="129"/>
  <c r="F23" i="129"/>
  <c r="F249" i="129"/>
  <c r="F226" i="129"/>
  <c r="F209" i="129"/>
  <c r="F184" i="129"/>
  <c r="F159" i="129"/>
  <c r="F133" i="129"/>
  <c r="F106" i="129"/>
  <c r="F81" i="129"/>
  <c r="F31" i="129"/>
  <c r="C123" i="129"/>
  <c r="F265" i="129"/>
  <c r="F248" i="129"/>
  <c r="F225" i="129"/>
  <c r="F201" i="129"/>
  <c r="F176" i="129"/>
  <c r="F151" i="129"/>
  <c r="F125" i="129"/>
  <c r="F98" i="129"/>
  <c r="F73" i="129"/>
  <c r="F48" i="129"/>
  <c r="F96" i="129"/>
  <c r="F240" i="129"/>
  <c r="F45" i="129"/>
  <c r="C195" i="129"/>
  <c r="C67" i="129"/>
  <c r="F261" i="129"/>
  <c r="F239" i="129"/>
  <c r="F217" i="129"/>
  <c r="F197" i="129"/>
  <c r="F170" i="129"/>
  <c r="F145" i="129"/>
  <c r="F120" i="129"/>
  <c r="F95" i="129"/>
  <c r="F69" i="129"/>
  <c r="F42" i="129"/>
  <c r="F242" i="129"/>
  <c r="F224" i="129"/>
  <c r="F200" i="129"/>
  <c r="F175" i="129"/>
  <c r="F149" i="129"/>
  <c r="F122" i="129"/>
  <c r="F97" i="129"/>
  <c r="F72" i="129"/>
  <c r="F47" i="129"/>
  <c r="C107" i="129"/>
  <c r="F263" i="129"/>
  <c r="F223" i="129"/>
  <c r="F199" i="129"/>
  <c r="F173" i="129"/>
  <c r="F146" i="129"/>
  <c r="F121" i="129"/>
  <c r="F71" i="129"/>
  <c r="C187" i="129"/>
  <c r="C59" i="129"/>
  <c r="F256" i="129"/>
  <c r="F237" i="129"/>
  <c r="F215" i="129"/>
  <c r="F189" i="129"/>
  <c r="F162" i="129"/>
  <c r="F137" i="129"/>
  <c r="F112" i="129"/>
  <c r="F87" i="129"/>
  <c r="F61" i="129"/>
  <c r="F34" i="129"/>
  <c r="F253" i="129"/>
  <c r="F234" i="129"/>
  <c r="F213" i="129"/>
  <c r="F186" i="129"/>
  <c r="F161" i="129"/>
  <c r="F136" i="129"/>
  <c r="F111" i="129"/>
  <c r="F85" i="129"/>
  <c r="F58" i="129"/>
  <c r="F33" i="129"/>
  <c r="F250" i="129"/>
  <c r="F210" i="129"/>
  <c r="F185" i="129"/>
  <c r="F160" i="129"/>
  <c r="F135" i="129"/>
  <c r="F109" i="129"/>
  <c r="F82" i="129"/>
  <c r="F32" i="129"/>
  <c r="F56" i="129"/>
  <c r="C163" i="129"/>
  <c r="C99" i="129"/>
  <c r="C35" i="129"/>
  <c r="F258" i="129"/>
  <c r="F247" i="129"/>
  <c r="F233" i="129"/>
  <c r="F221" i="129"/>
  <c r="F208" i="129"/>
  <c r="F194" i="129"/>
  <c r="F183" i="129"/>
  <c r="F169" i="129"/>
  <c r="F157" i="129"/>
  <c r="F144" i="129"/>
  <c r="F130" i="129"/>
  <c r="F119" i="129"/>
  <c r="F105" i="129"/>
  <c r="F93" i="129"/>
  <c r="F80" i="129"/>
  <c r="F66" i="129"/>
  <c r="F55" i="129"/>
  <c r="F41" i="129"/>
  <c r="F29" i="129"/>
  <c r="C155" i="129"/>
  <c r="C91" i="129"/>
  <c r="C27" i="129"/>
  <c r="F257" i="129"/>
  <c r="F245" i="129"/>
  <c r="F232" i="129"/>
  <c r="F218" i="129"/>
  <c r="F207" i="129"/>
  <c r="F193" i="129"/>
  <c r="F181" i="129"/>
  <c r="F168" i="129"/>
  <c r="F154" i="129"/>
  <c r="F143" i="129"/>
  <c r="F129" i="129"/>
  <c r="F117" i="129"/>
  <c r="F104" i="129"/>
  <c r="F90" i="129"/>
  <c r="F79" i="129"/>
  <c r="F65" i="129"/>
  <c r="F53" i="129"/>
  <c r="F40" i="129"/>
  <c r="F26" i="129"/>
  <c r="C147" i="129"/>
  <c r="C83" i="129"/>
  <c r="F205" i="129"/>
  <c r="F192" i="129"/>
  <c r="F178" i="129"/>
  <c r="F167" i="129"/>
  <c r="F153" i="129"/>
  <c r="F141" i="129"/>
  <c r="F128" i="129"/>
  <c r="F114" i="129"/>
  <c r="F103" i="129"/>
  <c r="F89" i="129"/>
  <c r="F77" i="129"/>
  <c r="F64" i="129"/>
  <c r="F50" i="129"/>
  <c r="F39" i="129"/>
  <c r="F25" i="129"/>
  <c r="C203" i="129"/>
  <c r="C139" i="129"/>
  <c r="C75" i="129"/>
  <c r="F266" i="129"/>
  <c r="F255" i="129"/>
  <c r="F241" i="129"/>
  <c r="F229" i="129"/>
  <c r="F216" i="129"/>
  <c r="F202" i="129"/>
  <c r="F191" i="129"/>
  <c r="F177" i="129"/>
  <c r="F165" i="129"/>
  <c r="F152" i="129"/>
  <c r="F138" i="129"/>
  <c r="F127" i="129"/>
  <c r="F113" i="129"/>
  <c r="F101" i="129"/>
  <c r="F88" i="129"/>
  <c r="F74" i="129"/>
  <c r="F63" i="129"/>
  <c r="F49" i="129"/>
  <c r="F37" i="129"/>
  <c r="F24" i="129"/>
  <c r="F262" i="129"/>
  <c r="F254" i="129"/>
  <c r="F246" i="129"/>
  <c r="F238" i="129"/>
  <c r="F230" i="129"/>
  <c r="F222" i="129"/>
  <c r="F214" i="129"/>
  <c r="F206" i="129"/>
  <c r="F198" i="129"/>
  <c r="F190" i="129"/>
  <c r="F182" i="129"/>
  <c r="F174" i="129"/>
  <c r="F166" i="129"/>
  <c r="F158" i="129"/>
  <c r="F150" i="129"/>
  <c r="F142" i="129"/>
  <c r="F134" i="129"/>
  <c r="F126" i="129"/>
  <c r="F118" i="129"/>
  <c r="F110" i="129"/>
  <c r="F102" i="129"/>
  <c r="F94" i="129"/>
  <c r="F86" i="129"/>
  <c r="F78" i="129"/>
  <c r="F70" i="129"/>
  <c r="F62" i="129"/>
  <c r="F54" i="129"/>
  <c r="F46" i="129"/>
  <c r="F38" i="129"/>
  <c r="F30" i="129"/>
  <c r="F268" i="129"/>
  <c r="F260" i="129"/>
  <c r="F252" i="129"/>
  <c r="F244" i="129"/>
  <c r="F236" i="129"/>
  <c r="F228" i="129"/>
  <c r="F220" i="129"/>
  <c r="F212" i="129"/>
  <c r="F204" i="129"/>
  <c r="F196" i="129"/>
  <c r="F188" i="129"/>
  <c r="F180" i="129"/>
  <c r="F172" i="129"/>
  <c r="F164" i="129"/>
  <c r="F156" i="129"/>
  <c r="F148" i="129"/>
  <c r="F140" i="129"/>
  <c r="F132" i="129"/>
  <c r="F124" i="129"/>
  <c r="F116" i="129"/>
  <c r="F108" i="129"/>
  <c r="F100" i="129"/>
  <c r="F92" i="129"/>
  <c r="F84" i="129"/>
  <c r="F76" i="129"/>
  <c r="F68" i="129"/>
  <c r="F60" i="129"/>
  <c r="F52" i="129"/>
  <c r="F44" i="129"/>
  <c r="F36" i="129"/>
  <c r="F28" i="129"/>
  <c r="F267" i="129"/>
  <c r="F259" i="129"/>
  <c r="F251" i="129"/>
  <c r="F243" i="129"/>
  <c r="F235" i="129"/>
  <c r="F227" i="129"/>
  <c r="F219" i="129"/>
  <c r="F211" i="129"/>
  <c r="F203" i="129"/>
  <c r="F195" i="129"/>
  <c r="F187" i="129"/>
  <c r="F179" i="129"/>
  <c r="F171" i="129"/>
  <c r="F163" i="129"/>
  <c r="F155" i="129"/>
  <c r="F147" i="129"/>
  <c r="F139" i="129"/>
  <c r="F131" i="129"/>
  <c r="F123" i="129"/>
  <c r="F115" i="129"/>
  <c r="F107" i="129"/>
  <c r="F99" i="129"/>
  <c r="F91" i="129"/>
  <c r="F83" i="129"/>
  <c r="F75" i="129"/>
  <c r="F67" i="129"/>
  <c r="F59" i="129"/>
  <c r="F51" i="129"/>
  <c r="F43" i="129"/>
  <c r="F35" i="129"/>
  <c r="C202" i="129"/>
  <c r="C194" i="129"/>
  <c r="C186" i="129"/>
  <c r="C178" i="129"/>
  <c r="C170" i="129"/>
  <c r="C162" i="129"/>
  <c r="C146" i="129"/>
  <c r="C114" i="129"/>
  <c r="C106" i="129"/>
  <c r="C98" i="129"/>
  <c r="C90" i="129"/>
  <c r="C82" i="129"/>
  <c r="C74" i="129"/>
  <c r="C66" i="129"/>
  <c r="C58" i="129"/>
  <c r="C50" i="129"/>
  <c r="C42" i="129"/>
  <c r="C34" i="129"/>
  <c r="C26" i="129"/>
  <c r="C23" i="129"/>
  <c r="C201" i="129"/>
  <c r="C193" i="129"/>
  <c r="C185" i="129"/>
  <c r="C177" i="129"/>
  <c r="C169" i="129"/>
  <c r="C161" i="129"/>
  <c r="C153" i="129"/>
  <c r="C145" i="129"/>
  <c r="C137" i="129"/>
  <c r="C129" i="129"/>
  <c r="C121" i="129"/>
  <c r="C113" i="129"/>
  <c r="C105" i="129"/>
  <c r="C97" i="129"/>
  <c r="C89" i="129"/>
  <c r="C81" i="129"/>
  <c r="C73" i="129"/>
  <c r="C65" i="129"/>
  <c r="C57" i="129"/>
  <c r="C49" i="129"/>
  <c r="C41" i="129"/>
  <c r="C33" i="129"/>
  <c r="C25" i="129"/>
  <c r="C122" i="129"/>
  <c r="C192" i="129"/>
  <c r="C160" i="129"/>
  <c r="C128" i="129"/>
  <c r="C96" i="129"/>
  <c r="C80" i="129"/>
  <c r="C40" i="129"/>
  <c r="C24" i="129"/>
  <c r="C207" i="129"/>
  <c r="C199" i="129"/>
  <c r="C191" i="129"/>
  <c r="C183" i="129"/>
  <c r="C175" i="129"/>
  <c r="C167" i="129"/>
  <c r="C159" i="129"/>
  <c r="C151" i="129"/>
  <c r="C143" i="129"/>
  <c r="C135" i="129"/>
  <c r="C127" i="129"/>
  <c r="C119" i="129"/>
  <c r="C111" i="129"/>
  <c r="C103" i="129"/>
  <c r="C95" i="129"/>
  <c r="C87" i="129"/>
  <c r="C79" i="129"/>
  <c r="C71" i="129"/>
  <c r="C63" i="129"/>
  <c r="C55" i="129"/>
  <c r="C47" i="129"/>
  <c r="C39" i="129"/>
  <c r="C31" i="129"/>
  <c r="C154" i="129"/>
  <c r="C200" i="129"/>
  <c r="C168" i="129"/>
  <c r="C136" i="129"/>
  <c r="C104" i="129"/>
  <c r="C48" i="129"/>
  <c r="C206" i="129"/>
  <c r="C198" i="129"/>
  <c r="C190" i="129"/>
  <c r="C182" i="129"/>
  <c r="C174" i="129"/>
  <c r="C166" i="129"/>
  <c r="C158" i="129"/>
  <c r="C150" i="129"/>
  <c r="C142" i="129"/>
  <c r="C134" i="129"/>
  <c r="C126" i="129"/>
  <c r="C118" i="129"/>
  <c r="C110" i="129"/>
  <c r="C102" i="129"/>
  <c r="C94" i="129"/>
  <c r="C86" i="129"/>
  <c r="C78" i="129"/>
  <c r="C70" i="129"/>
  <c r="C62" i="129"/>
  <c r="C54" i="129"/>
  <c r="C46" i="129"/>
  <c r="C38" i="129"/>
  <c r="C30" i="129"/>
  <c r="C138" i="129"/>
  <c r="C184" i="129"/>
  <c r="C144" i="129"/>
  <c r="C112" i="129"/>
  <c r="C64" i="129"/>
  <c r="C205" i="129"/>
  <c r="C197" i="129"/>
  <c r="C189" i="129"/>
  <c r="C181" i="129"/>
  <c r="C173" i="129"/>
  <c r="C165" i="129"/>
  <c r="C157" i="129"/>
  <c r="C149" i="129"/>
  <c r="C141" i="129"/>
  <c r="C133" i="129"/>
  <c r="C125" i="129"/>
  <c r="C117" i="129"/>
  <c r="C109" i="129"/>
  <c r="C101" i="129"/>
  <c r="C93" i="129"/>
  <c r="C85" i="129"/>
  <c r="C77" i="129"/>
  <c r="C69" i="129"/>
  <c r="C61" i="129"/>
  <c r="C53" i="129"/>
  <c r="C45" i="129"/>
  <c r="C37" i="129"/>
  <c r="C29" i="129"/>
  <c r="C130" i="129"/>
  <c r="C208" i="129"/>
  <c r="C176" i="129"/>
  <c r="C152" i="129"/>
  <c r="C120" i="129"/>
  <c r="C88" i="129"/>
  <c r="C72" i="129"/>
  <c r="C56" i="129"/>
  <c r="C32" i="129"/>
  <c r="C204" i="129"/>
  <c r="C196" i="129"/>
  <c r="C188" i="129"/>
  <c r="C180" i="129"/>
  <c r="C172" i="129"/>
  <c r="C164" i="129"/>
  <c r="C156" i="129"/>
  <c r="C148" i="129"/>
  <c r="C140" i="129"/>
  <c r="C132" i="129"/>
  <c r="C124" i="129"/>
  <c r="C116" i="129"/>
  <c r="C108" i="129"/>
  <c r="C100" i="129"/>
  <c r="C92" i="129"/>
  <c r="C84" i="129"/>
  <c r="C76" i="129"/>
  <c r="C68" i="129"/>
  <c r="C60" i="129"/>
  <c r="C52" i="129"/>
  <c r="C44" i="129"/>
  <c r="C36" i="129"/>
  <c r="C16" i="129"/>
  <c r="C13" i="129"/>
  <c r="C5" i="129"/>
  <c r="F14" i="129"/>
  <c r="C9" i="129"/>
  <c r="C6" i="129"/>
  <c r="C17" i="129"/>
  <c r="F15" i="129"/>
  <c r="C15" i="129"/>
  <c r="F13" i="129"/>
  <c r="C14" i="129"/>
  <c r="F12" i="129"/>
  <c r="C8" i="129"/>
  <c r="F11" i="129"/>
  <c r="C7" i="129"/>
  <c r="F5" i="129"/>
  <c r="C12" i="129"/>
  <c r="F4" i="129"/>
  <c r="F10" i="129"/>
  <c r="C11" i="129"/>
  <c r="F17" i="129"/>
  <c r="F9" i="129"/>
  <c r="C4" i="129"/>
  <c r="F16" i="129"/>
  <c r="F8" i="129"/>
  <c r="F7" i="129"/>
  <c r="C292" i="114"/>
  <c r="N164" i="113"/>
  <c r="N203" i="113"/>
  <c r="N187" i="113"/>
  <c r="N163" i="113"/>
  <c r="N147" i="113"/>
  <c r="N131" i="113"/>
  <c r="N107" i="113"/>
  <c r="N83" i="113"/>
  <c r="N19" i="113"/>
  <c r="N210" i="113"/>
  <c r="N186" i="113"/>
  <c r="N162" i="113"/>
  <c r="N130" i="113"/>
  <c r="N18" i="113"/>
  <c r="N217" i="113"/>
  <c r="N209" i="113"/>
  <c r="N201" i="113"/>
  <c r="N193" i="113"/>
  <c r="N185" i="113"/>
  <c r="N177" i="113"/>
  <c r="N169" i="113"/>
  <c r="N161" i="113"/>
  <c r="N153" i="113"/>
  <c r="N145" i="113"/>
  <c r="N137" i="113"/>
  <c r="N129" i="113"/>
  <c r="N121" i="113"/>
  <c r="N113" i="113"/>
  <c r="N105" i="113"/>
  <c r="N97" i="113"/>
  <c r="N89" i="113"/>
  <c r="N81" i="113"/>
  <c r="N73" i="113"/>
  <c r="N65" i="113"/>
  <c r="N57" i="113"/>
  <c r="N49" i="113"/>
  <c r="N41" i="113"/>
  <c r="N33" i="113"/>
  <c r="N25" i="113"/>
  <c r="N17" i="113"/>
  <c r="N9" i="113"/>
  <c r="N220" i="113"/>
  <c r="N212" i="113"/>
  <c r="N204" i="113"/>
  <c r="N196" i="113"/>
  <c r="N188" i="113"/>
  <c r="N180" i="113"/>
  <c r="N172" i="113"/>
  <c r="N156" i="113"/>
  <c r="N219" i="113"/>
  <c r="N211" i="113"/>
  <c r="N195" i="113"/>
  <c r="N179" i="113"/>
  <c r="N171" i="113"/>
  <c r="N155" i="113"/>
  <c r="N139" i="113"/>
  <c r="N123" i="113"/>
  <c r="N115" i="113"/>
  <c r="N99" i="113"/>
  <c r="N91" i="113"/>
  <c r="N75" i="113"/>
  <c r="N67" i="113"/>
  <c r="N59" i="113"/>
  <c r="N51" i="113"/>
  <c r="N43" i="113"/>
  <c r="N35" i="113"/>
  <c r="N27" i="113"/>
  <c r="N11" i="113"/>
  <c r="N218" i="113"/>
  <c r="N202" i="113"/>
  <c r="N194" i="113"/>
  <c r="N178" i="113"/>
  <c r="N170" i="113"/>
  <c r="N154" i="113"/>
  <c r="N146" i="113"/>
  <c r="N138" i="113"/>
  <c r="N122" i="113"/>
  <c r="N114" i="113"/>
  <c r="N106" i="113"/>
  <c r="N98" i="113"/>
  <c r="N90" i="113"/>
  <c r="N82" i="113"/>
  <c r="N74" i="113"/>
  <c r="N66" i="113"/>
  <c r="N58" i="113"/>
  <c r="N50" i="113"/>
  <c r="N42" i="113"/>
  <c r="N34" i="113"/>
  <c r="N26" i="113"/>
  <c r="N10" i="113"/>
  <c r="N3" i="113"/>
  <c r="N216" i="113"/>
  <c r="N208" i="113"/>
  <c r="N200" i="113"/>
  <c r="N192" i="113"/>
  <c r="N184" i="113"/>
  <c r="N176" i="113"/>
  <c r="N168" i="113"/>
  <c r="N160" i="113"/>
  <c r="N152" i="113"/>
  <c r="N144" i="113"/>
  <c r="N136" i="113"/>
  <c r="N128" i="113"/>
  <c r="N120" i="113"/>
  <c r="N112" i="113"/>
  <c r="N104" i="113"/>
  <c r="N96" i="113"/>
  <c r="N88" i="113"/>
  <c r="N80" i="113"/>
  <c r="N72" i="113"/>
  <c r="N64" i="113"/>
  <c r="N56" i="113"/>
  <c r="N48" i="113"/>
  <c r="N40" i="113"/>
  <c r="N32" i="113"/>
  <c r="N24" i="113"/>
  <c r="N16" i="113"/>
  <c r="N8" i="113"/>
  <c r="N223" i="113"/>
  <c r="N215" i="113"/>
  <c r="N207" i="113"/>
  <c r="N199" i="113"/>
  <c r="N191" i="113"/>
  <c r="N183" i="113"/>
  <c r="N175" i="113"/>
  <c r="N167" i="113"/>
  <c r="N159" i="113"/>
  <c r="N151" i="113"/>
  <c r="N143" i="113"/>
  <c r="N135" i="113"/>
  <c r="N127" i="113"/>
  <c r="N119" i="113"/>
  <c r="N111" i="113"/>
  <c r="N103" i="113"/>
  <c r="N95" i="113"/>
  <c r="N87" i="113"/>
  <c r="N79" i="113"/>
  <c r="N71" i="113"/>
  <c r="N63" i="113"/>
  <c r="N55" i="113"/>
  <c r="N47" i="113"/>
  <c r="N39" i="113"/>
  <c r="N31" i="113"/>
  <c r="N23" i="113"/>
  <c r="N15" i="113"/>
  <c r="N7" i="113"/>
  <c r="N222" i="113"/>
  <c r="N214" i="113"/>
  <c r="N206" i="113"/>
  <c r="N198" i="113"/>
  <c r="N190" i="113"/>
  <c r="N182" i="113"/>
  <c r="N174" i="113"/>
  <c r="N166" i="113"/>
  <c r="N158" i="113"/>
  <c r="N150" i="113"/>
  <c r="N142" i="113"/>
  <c r="N134" i="113"/>
  <c r="N126" i="113"/>
  <c r="N118" i="113"/>
  <c r="N110" i="113"/>
  <c r="N102" i="113"/>
  <c r="N94" i="113"/>
  <c r="N86" i="113"/>
  <c r="N78" i="113"/>
  <c r="N70" i="113"/>
  <c r="N62" i="113"/>
  <c r="N54" i="113"/>
  <c r="N46" i="113"/>
  <c r="N38" i="113"/>
  <c r="N30" i="113"/>
  <c r="N22" i="113"/>
  <c r="N14" i="113"/>
  <c r="N6" i="113"/>
  <c r="N213" i="113"/>
  <c r="N189" i="113"/>
  <c r="N181" i="113"/>
  <c r="N173" i="113"/>
  <c r="N165" i="113"/>
  <c r="N157" i="113"/>
  <c r="N149" i="113"/>
  <c r="N141" i="113"/>
  <c r="N133" i="113"/>
  <c r="N125" i="113"/>
  <c r="N117" i="113"/>
  <c r="N109" i="113"/>
  <c r="N101" i="113"/>
  <c r="N93" i="113"/>
  <c r="N85" i="113"/>
  <c r="N77" i="113"/>
  <c r="N69" i="113"/>
  <c r="N61" i="113"/>
  <c r="N53" i="113"/>
  <c r="N45" i="113"/>
  <c r="N37" i="113"/>
  <c r="N29" i="113"/>
  <c r="N21" i="113"/>
  <c r="N13" i="113"/>
  <c r="N5" i="113"/>
  <c r="N148" i="113"/>
  <c r="N140" i="113"/>
  <c r="N132" i="113"/>
  <c r="N124" i="113"/>
  <c r="N116" i="113"/>
  <c r="N108" i="113"/>
  <c r="N100" i="113"/>
  <c r="N92" i="113"/>
  <c r="N84" i="113"/>
  <c r="N76" i="113"/>
  <c r="N68" i="113"/>
  <c r="N60" i="113"/>
  <c r="N52" i="113"/>
  <c r="N44" i="113"/>
  <c r="N36" i="113"/>
  <c r="N28" i="113"/>
  <c r="N20" i="113"/>
  <c r="N12" i="113"/>
  <c r="F15" i="101"/>
  <c r="C15" i="101"/>
  <c r="F269" i="129" l="1"/>
  <c r="C269" i="129"/>
  <c r="C18" i="129"/>
  <c r="F18" i="129"/>
  <c r="I149" i="82"/>
  <c r="I150" i="82"/>
  <c r="I197" i="82"/>
  <c r="I151" i="82"/>
  <c r="I200" i="82"/>
  <c r="I152" i="82"/>
  <c r="I153" i="82"/>
  <c r="G255" i="82"/>
  <c r="H255" i="82"/>
  <c r="D36" i="82"/>
  <c r="D61" i="82"/>
  <c r="D30" i="82"/>
  <c r="B213" i="82"/>
  <c r="C213" i="82"/>
  <c r="H24" i="115"/>
  <c r="I24" i="115"/>
  <c r="J24" i="115"/>
  <c r="K24" i="115"/>
  <c r="L24" i="115"/>
  <c r="M24" i="115"/>
  <c r="N24" i="115"/>
  <c r="O24" i="115"/>
  <c r="P24" i="115"/>
  <c r="Q24" i="115"/>
  <c r="R24" i="115"/>
  <c r="S24" i="115"/>
  <c r="T24" i="115"/>
  <c r="U6" i="115" s="1"/>
  <c r="E14" i="115"/>
  <c r="E5" i="115"/>
  <c r="C290" i="114"/>
  <c r="F259" i="97"/>
  <c r="G4" i="97" s="1"/>
  <c r="H8" i="95"/>
  <c r="L8" i="95" l="1"/>
  <c r="K8" i="95"/>
  <c r="G7" i="97"/>
  <c r="D234" i="95"/>
  <c r="F10" i="86"/>
  <c r="B10" i="86"/>
  <c r="C5" i="86" s="1"/>
  <c r="D10" i="86"/>
  <c r="E7" i="86" s="1"/>
  <c r="D160" i="96"/>
  <c r="H160" i="96" s="1"/>
  <c r="B160" i="96"/>
  <c r="I160" i="96" s="1"/>
  <c r="B259" i="97"/>
  <c r="D259" i="97"/>
  <c r="D142" i="93"/>
  <c r="H67" i="95"/>
  <c r="H137" i="95"/>
  <c r="H51" i="95"/>
  <c r="H189" i="95"/>
  <c r="H112" i="95"/>
  <c r="H192" i="95"/>
  <c r="H120" i="95"/>
  <c r="H37" i="95"/>
  <c r="H141" i="95"/>
  <c r="H177" i="95"/>
  <c r="H49" i="95"/>
  <c r="H160" i="95"/>
  <c r="H150" i="95"/>
  <c r="H89" i="95"/>
  <c r="H46" i="95"/>
  <c r="H4" i="95"/>
  <c r="D12" i="85"/>
  <c r="D3" i="92"/>
  <c r="F15" i="90"/>
  <c r="F3" i="90"/>
  <c r="E15" i="90"/>
  <c r="E3" i="90"/>
  <c r="H7" i="86"/>
  <c r="H8" i="86"/>
  <c r="H9" i="86"/>
  <c r="F12" i="85"/>
  <c r="D3" i="84"/>
  <c r="B25" i="117"/>
  <c r="E25" i="117"/>
  <c r="F23" i="117" s="1"/>
  <c r="E16" i="116"/>
  <c r="E4" i="116"/>
  <c r="I32" i="82"/>
  <c r="I148" i="82"/>
  <c r="I190" i="82"/>
  <c r="I214" i="82"/>
  <c r="I22" i="82"/>
  <c r="I217" i="82"/>
  <c r="I209" i="82"/>
  <c r="D35" i="82"/>
  <c r="D26" i="82"/>
  <c r="D55" i="82"/>
  <c r="D41" i="82"/>
  <c r="D57" i="82"/>
  <c r="D62" i="82"/>
  <c r="E17" i="115"/>
  <c r="L160" i="95" l="1"/>
  <c r="K160" i="95"/>
  <c r="L49" i="95"/>
  <c r="K49" i="95"/>
  <c r="L51" i="95"/>
  <c r="K51" i="95"/>
  <c r="L177" i="95"/>
  <c r="K177" i="95"/>
  <c r="L137" i="95"/>
  <c r="K137" i="95"/>
  <c r="K141" i="95"/>
  <c r="L141" i="95"/>
  <c r="L67" i="95"/>
  <c r="K67" i="95"/>
  <c r="G9" i="86"/>
  <c r="H10" i="86"/>
  <c r="L37" i="95"/>
  <c r="K37" i="95"/>
  <c r="K46" i="95"/>
  <c r="L46" i="95"/>
  <c r="K120" i="95"/>
  <c r="L120" i="95"/>
  <c r="K89" i="95"/>
  <c r="L89" i="95"/>
  <c r="K192" i="95"/>
  <c r="L192" i="95"/>
  <c r="L150" i="95"/>
  <c r="K150" i="95"/>
  <c r="L112" i="95"/>
  <c r="K112" i="95"/>
  <c r="G8" i="86"/>
  <c r="G6" i="86"/>
  <c r="E6" i="86"/>
  <c r="C24" i="117"/>
  <c r="C22" i="117"/>
  <c r="C23" i="117"/>
  <c r="C9" i="86"/>
  <c r="K4" i="95"/>
  <c r="C8" i="86"/>
  <c r="G5" i="85"/>
  <c r="G6" i="85"/>
  <c r="G4" i="85"/>
  <c r="C7" i="86"/>
  <c r="C6" i="86"/>
  <c r="G7" i="86"/>
  <c r="L4" i="95"/>
  <c r="E5" i="86"/>
  <c r="G5" i="86"/>
  <c r="G4" i="86"/>
  <c r="E8" i="86"/>
  <c r="E9" i="86"/>
  <c r="F24" i="117"/>
  <c r="F22" i="117"/>
  <c r="D8" i="109"/>
  <c r="F6" i="117"/>
  <c r="F7" i="117"/>
  <c r="F8" i="117"/>
  <c r="F9" i="117"/>
  <c r="F10" i="117"/>
  <c r="F11" i="117"/>
  <c r="F12" i="117"/>
  <c r="F13" i="117"/>
  <c r="F14" i="117"/>
  <c r="F15" i="117"/>
  <c r="F16" i="117"/>
  <c r="F17" i="117"/>
  <c r="B18" i="117"/>
  <c r="C18" i="117"/>
  <c r="E18" i="117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D17" i="116"/>
  <c r="E6" i="115"/>
  <c r="E7" i="115"/>
  <c r="E8" i="115"/>
  <c r="E9" i="115"/>
  <c r="E10" i="115"/>
  <c r="E11" i="115"/>
  <c r="E12" i="115"/>
  <c r="E13" i="115"/>
  <c r="E15" i="115"/>
  <c r="E16" i="115"/>
  <c r="C18" i="115"/>
  <c r="D18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29" i="115" s="1"/>
  <c r="K4" i="114"/>
  <c r="K5" i="114"/>
  <c r="B6" i="114"/>
  <c r="C6" i="114"/>
  <c r="D6" i="114"/>
  <c r="E6" i="114"/>
  <c r="F6" i="114"/>
  <c r="G6" i="114"/>
  <c r="H6" i="114"/>
  <c r="I6" i="114"/>
  <c r="J6" i="114"/>
  <c r="B44" i="114"/>
  <c r="C11" i="114" s="1"/>
  <c r="E44" i="114"/>
  <c r="F11" i="114" s="1"/>
  <c r="B18" i="113"/>
  <c r="E23" i="113"/>
  <c r="E5" i="112"/>
  <c r="F5" i="112"/>
  <c r="E7" i="112"/>
  <c r="B9" i="112"/>
  <c r="C9" i="112"/>
  <c r="B260" i="111"/>
  <c r="C260" i="111"/>
  <c r="D260" i="111"/>
  <c r="H4" i="110"/>
  <c r="I4" i="110"/>
  <c r="H5" i="110"/>
  <c r="I5" i="110"/>
  <c r="H6" i="110"/>
  <c r="I6" i="110"/>
  <c r="G9" i="110"/>
  <c r="B10" i="110"/>
  <c r="C4" i="110" s="1"/>
  <c r="D10" i="110"/>
  <c r="E7" i="110" s="1"/>
  <c r="F10" i="110"/>
  <c r="E4" i="109"/>
  <c r="F4" i="109"/>
  <c r="B8" i="109"/>
  <c r="C8" i="109"/>
  <c r="H4" i="107"/>
  <c r="I4" i="107"/>
  <c r="B253" i="106"/>
  <c r="C253" i="106"/>
  <c r="D253" i="106"/>
  <c r="E253" i="106"/>
  <c r="F253" i="106"/>
  <c r="G253" i="106"/>
  <c r="H253" i="106"/>
  <c r="I253" i="106"/>
  <c r="J253" i="106"/>
  <c r="C4" i="105"/>
  <c r="E4" i="105"/>
  <c r="G4" i="105"/>
  <c r="H4" i="105"/>
  <c r="I4" i="105"/>
  <c r="C6" i="105"/>
  <c r="E6" i="105"/>
  <c r="G6" i="105"/>
  <c r="H6" i="105"/>
  <c r="I6" i="105"/>
  <c r="C5" i="105"/>
  <c r="E5" i="105"/>
  <c r="G5" i="105"/>
  <c r="H5" i="105"/>
  <c r="I5" i="105"/>
  <c r="C8" i="105"/>
  <c r="E8" i="105"/>
  <c r="G8" i="105"/>
  <c r="H8" i="105"/>
  <c r="I8" i="105"/>
  <c r="C7" i="105"/>
  <c r="E7" i="105"/>
  <c r="G7" i="105"/>
  <c r="H7" i="105"/>
  <c r="I7" i="105"/>
  <c r="C9" i="105"/>
  <c r="E9" i="105"/>
  <c r="G9" i="105"/>
  <c r="H9" i="105"/>
  <c r="I9" i="105"/>
  <c r="C10" i="105"/>
  <c r="E10" i="105"/>
  <c r="G10" i="105"/>
  <c r="H10" i="105"/>
  <c r="I10" i="105"/>
  <c r="C11" i="105"/>
  <c r="E11" i="105"/>
  <c r="G11" i="105"/>
  <c r="H11" i="105"/>
  <c r="I11" i="105"/>
  <c r="C12" i="105"/>
  <c r="E12" i="105"/>
  <c r="G12" i="105"/>
  <c r="H12" i="105"/>
  <c r="I12" i="105"/>
  <c r="B203" i="104"/>
  <c r="C203" i="104"/>
  <c r="D203" i="104"/>
  <c r="E203" i="104"/>
  <c r="F203" i="104"/>
  <c r="G203" i="104"/>
  <c r="H203" i="104"/>
  <c r="I203" i="104"/>
  <c r="J203" i="104"/>
  <c r="E4" i="103"/>
  <c r="G4" i="103"/>
  <c r="H4" i="103"/>
  <c r="I4" i="103"/>
  <c r="G5" i="103"/>
  <c r="H5" i="103"/>
  <c r="I5" i="103"/>
  <c r="E6" i="103"/>
  <c r="G6" i="103"/>
  <c r="H6" i="103"/>
  <c r="I6" i="103"/>
  <c r="E7" i="103"/>
  <c r="G7" i="103"/>
  <c r="H7" i="103"/>
  <c r="I7" i="103"/>
  <c r="E8" i="103"/>
  <c r="G8" i="103"/>
  <c r="H8" i="103"/>
  <c r="I8" i="103"/>
  <c r="E9" i="103"/>
  <c r="G9" i="103"/>
  <c r="H9" i="103"/>
  <c r="I9" i="103"/>
  <c r="E10" i="103"/>
  <c r="G10" i="103"/>
  <c r="H10" i="103"/>
  <c r="I10" i="103"/>
  <c r="E11" i="103"/>
  <c r="G11" i="103"/>
  <c r="H11" i="103"/>
  <c r="E12" i="103"/>
  <c r="G12" i="103"/>
  <c r="H12" i="103"/>
  <c r="I12" i="103"/>
  <c r="C10" i="110" l="1"/>
  <c r="G10" i="86"/>
  <c r="E5" i="110"/>
  <c r="F8" i="109"/>
  <c r="E8" i="109"/>
  <c r="C25" i="117"/>
  <c r="F25" i="117"/>
  <c r="E8" i="110"/>
  <c r="F9" i="112"/>
  <c r="E9" i="112"/>
  <c r="E18" i="115"/>
  <c r="U9" i="115"/>
  <c r="U7" i="115"/>
  <c r="U10" i="115"/>
  <c r="U11" i="115"/>
  <c r="U33" i="115"/>
  <c r="U34" i="115"/>
  <c r="U30" i="115"/>
  <c r="U44" i="115"/>
  <c r="U42" i="115"/>
  <c r="U21" i="115"/>
  <c r="C25" i="114"/>
  <c r="F17" i="114"/>
  <c r="F25" i="114"/>
  <c r="F33" i="114"/>
  <c r="F41" i="114"/>
  <c r="F27" i="114"/>
  <c r="F43" i="114"/>
  <c r="F39" i="114"/>
  <c r="F16" i="114"/>
  <c r="F18" i="114"/>
  <c r="F26" i="114"/>
  <c r="F34" i="114"/>
  <c r="F42" i="114"/>
  <c r="F19" i="114"/>
  <c r="F35" i="114"/>
  <c r="F23" i="114"/>
  <c r="F32" i="114"/>
  <c r="F15" i="114"/>
  <c r="F12" i="114"/>
  <c r="F20" i="114"/>
  <c r="F28" i="114"/>
  <c r="F36" i="114"/>
  <c r="F22" i="114"/>
  <c r="F38" i="114"/>
  <c r="F31" i="114"/>
  <c r="F40" i="114"/>
  <c r="F21" i="114"/>
  <c r="F29" i="114"/>
  <c r="F37" i="114"/>
  <c r="F13" i="114"/>
  <c r="F30" i="114"/>
  <c r="F14" i="114"/>
  <c r="F24" i="114"/>
  <c r="C21" i="114"/>
  <c r="C33" i="114"/>
  <c r="C16" i="114"/>
  <c r="C27" i="114"/>
  <c r="C32" i="114"/>
  <c r="C26" i="114"/>
  <c r="C15" i="114"/>
  <c r="C20" i="114"/>
  <c r="C14" i="114"/>
  <c r="C31" i="114"/>
  <c r="C19" i="114"/>
  <c r="C13" i="114"/>
  <c r="C36" i="114"/>
  <c r="C30" i="114"/>
  <c r="C24" i="114"/>
  <c r="C18" i="114"/>
  <c r="C23" i="114"/>
  <c r="C12" i="114"/>
  <c r="C35" i="114"/>
  <c r="C29" i="114"/>
  <c r="C22" i="114"/>
  <c r="C17" i="114"/>
  <c r="C34" i="114"/>
  <c r="C28" i="114"/>
  <c r="G7" i="110"/>
  <c r="G6" i="110"/>
  <c r="G4" i="110"/>
  <c r="H10" i="110"/>
  <c r="E10" i="110"/>
  <c r="C6" i="110"/>
  <c r="I10" i="110"/>
  <c r="G5" i="110"/>
  <c r="E6" i="110"/>
  <c r="E9" i="110"/>
  <c r="C5" i="110"/>
  <c r="C9" i="110"/>
  <c r="C8" i="110"/>
  <c r="C7" i="110"/>
  <c r="G4" i="107"/>
  <c r="G5" i="107"/>
  <c r="G6" i="107"/>
  <c r="G7" i="107"/>
  <c r="G8" i="107"/>
  <c r="E4" i="107"/>
  <c r="E5" i="107"/>
  <c r="E6" i="107"/>
  <c r="E7" i="107"/>
  <c r="E8" i="107"/>
  <c r="C4" i="107"/>
  <c r="C7" i="107"/>
  <c r="C8" i="107"/>
  <c r="C5" i="107"/>
  <c r="C6" i="107"/>
  <c r="H9" i="107"/>
  <c r="D18" i="117"/>
  <c r="E17" i="116"/>
  <c r="U43" i="115"/>
  <c r="U38" i="115"/>
  <c r="U16" i="115"/>
  <c r="U36" i="115"/>
  <c r="U39" i="115"/>
  <c r="U8" i="115"/>
  <c r="U37" i="115"/>
  <c r="U32" i="115"/>
  <c r="U14" i="115"/>
  <c r="U20" i="115"/>
  <c r="U19" i="115"/>
  <c r="U15" i="115"/>
  <c r="U46" i="115"/>
  <c r="U40" i="115"/>
  <c r="U23" i="115"/>
  <c r="U12" i="115"/>
  <c r="U41" i="115"/>
  <c r="U31" i="115"/>
  <c r="U18" i="115"/>
  <c r="U45" i="115"/>
  <c r="U35" i="115"/>
  <c r="U22" i="115"/>
  <c r="U17" i="115"/>
  <c r="U13" i="115"/>
  <c r="G8" i="110"/>
  <c r="E4" i="110"/>
  <c r="I9" i="107"/>
  <c r="C9" i="107" l="1"/>
  <c r="G9" i="107"/>
  <c r="E9" i="107"/>
  <c r="F294" i="114"/>
  <c r="C294" i="114"/>
  <c r="Q224" i="113"/>
  <c r="G10" i="110"/>
  <c r="U24" i="115"/>
  <c r="U47" i="115"/>
  <c r="F44" i="114"/>
  <c r="C44" i="114"/>
  <c r="N224" i="113"/>
  <c r="H116" i="95" l="1"/>
  <c r="K116" i="95" s="1"/>
  <c r="B4" i="82"/>
  <c r="C4" i="82"/>
  <c r="D97" i="82"/>
  <c r="D122" i="82"/>
  <c r="D98" i="82"/>
  <c r="D161" i="82"/>
  <c r="D28" i="82"/>
  <c r="D32" i="82"/>
  <c r="D179" i="82"/>
  <c r="D54" i="82"/>
  <c r="D34" i="82"/>
  <c r="D44" i="82"/>
  <c r="D18" i="82"/>
  <c r="D42" i="82"/>
  <c r="D111" i="82"/>
  <c r="D139" i="82"/>
  <c r="D204" i="82"/>
  <c r="D64" i="82"/>
  <c r="D65" i="82"/>
  <c r="D66" i="82"/>
  <c r="D67" i="82"/>
  <c r="D68" i="82"/>
  <c r="D69" i="82"/>
  <c r="D70" i="82"/>
  <c r="D14" i="82"/>
  <c r="D22" i="82"/>
  <c r="D71" i="82"/>
  <c r="D72" i="82"/>
  <c r="D73" i="82"/>
  <c r="D74" i="82"/>
  <c r="D60" i="82"/>
  <c r="D75" i="82"/>
  <c r="D76" i="82"/>
  <c r="D77" i="82"/>
  <c r="D78" i="82"/>
  <c r="D79" i="82"/>
  <c r="D27" i="82"/>
  <c r="D80" i="82"/>
  <c r="D58" i="82"/>
  <c r="D38" i="82"/>
  <c r="D81" i="82"/>
  <c r="D51" i="82"/>
  <c r="D82" i="82"/>
  <c r="D83" i="82"/>
  <c r="D84" i="82"/>
  <c r="D85" i="82"/>
  <c r="D86" i="82"/>
  <c r="D29" i="82"/>
  <c r="D87" i="82"/>
  <c r="D88" i="82"/>
  <c r="D89" i="82"/>
  <c r="D90" i="82"/>
  <c r="D91" i="82"/>
  <c r="D92" i="82"/>
  <c r="D47" i="82"/>
  <c r="D93" i="82"/>
  <c r="D94" i="82"/>
  <c r="D95" i="82"/>
  <c r="D96" i="82"/>
  <c r="D20" i="82"/>
  <c r="D99" i="82"/>
  <c r="D31" i="82"/>
  <c r="D100" i="82"/>
  <c r="D101" i="82"/>
  <c r="D102" i="82"/>
  <c r="D103" i="82"/>
  <c r="D104" i="82"/>
  <c r="D105" i="82"/>
  <c r="D106" i="82"/>
  <c r="D107" i="82"/>
  <c r="D108" i="82"/>
  <c r="D109" i="82"/>
  <c r="D110" i="82"/>
  <c r="D112" i="82"/>
  <c r="D21" i="82"/>
  <c r="D113" i="82"/>
  <c r="D23" i="82"/>
  <c r="D114" i="82"/>
  <c r="D115" i="82"/>
  <c r="D116" i="82"/>
  <c r="D117" i="82"/>
  <c r="D16" i="82"/>
  <c r="D118" i="82"/>
  <c r="D119" i="82"/>
  <c r="D12" i="82"/>
  <c r="D120" i="82"/>
  <c r="D121" i="82"/>
  <c r="D123" i="82"/>
  <c r="D124" i="82"/>
  <c r="D17" i="82"/>
  <c r="D125" i="82"/>
  <c r="D126" i="82"/>
  <c r="D63" i="82"/>
  <c r="D127" i="82"/>
  <c r="D128" i="82"/>
  <c r="D129" i="82"/>
  <c r="D130" i="82"/>
  <c r="D131" i="82"/>
  <c r="D132" i="82"/>
  <c r="D133" i="82"/>
  <c r="D134" i="82"/>
  <c r="D135" i="82"/>
  <c r="D136" i="82"/>
  <c r="D137" i="82"/>
  <c r="D138" i="82"/>
  <c r="D40" i="82"/>
  <c r="D140" i="82"/>
  <c r="D141" i="82"/>
  <c r="D142" i="82"/>
  <c r="D143" i="82"/>
  <c r="D144" i="82"/>
  <c r="D145" i="82"/>
  <c r="D146" i="82"/>
  <c r="D147" i="82"/>
  <c r="D24" i="82"/>
  <c r="D15" i="82"/>
  <c r="D148" i="82"/>
  <c r="D149" i="82"/>
  <c r="D150" i="82"/>
  <c r="D151" i="82"/>
  <c r="D152" i="82"/>
  <c r="D153" i="82"/>
  <c r="D154" i="82"/>
  <c r="D155" i="82"/>
  <c r="D156" i="82"/>
  <c r="D56" i="82"/>
  <c r="D157" i="82"/>
  <c r="D158" i="82"/>
  <c r="D46" i="82"/>
  <c r="D159" i="82"/>
  <c r="D160" i="82"/>
  <c r="D11" i="82"/>
  <c r="D45" i="82"/>
  <c r="D162" i="82"/>
  <c r="D19" i="82"/>
  <c r="D163" i="82"/>
  <c r="D164" i="82"/>
  <c r="D165" i="82"/>
  <c r="D33" i="82"/>
  <c r="D166" i="82"/>
  <c r="D167" i="82"/>
  <c r="D168" i="82"/>
  <c r="D169" i="82"/>
  <c r="D170" i="82"/>
  <c r="D171" i="82"/>
  <c r="D172" i="82"/>
  <c r="D173" i="82"/>
  <c r="D43" i="82"/>
  <c r="D174" i="82"/>
  <c r="D175" i="82"/>
  <c r="D176" i="82"/>
  <c r="D177" i="82"/>
  <c r="D37" i="82"/>
  <c r="D178" i="82"/>
  <c r="D59" i="82"/>
  <c r="D13" i="82"/>
  <c r="D180" i="82"/>
  <c r="D181" i="82"/>
  <c r="D182" i="82"/>
  <c r="D183" i="82"/>
  <c r="D184" i="82"/>
  <c r="D185" i="82"/>
  <c r="D52" i="82"/>
  <c r="D186" i="82"/>
  <c r="D187" i="82"/>
  <c r="D188" i="82"/>
  <c r="D189" i="82"/>
  <c r="D190" i="82"/>
  <c r="D50" i="82"/>
  <c r="D191" i="82"/>
  <c r="D192" i="82"/>
  <c r="D193" i="82"/>
  <c r="D194" i="82"/>
  <c r="D195" i="82"/>
  <c r="D196" i="82"/>
  <c r="D197" i="82"/>
  <c r="D198" i="82"/>
  <c r="D199" i="82"/>
  <c r="D200" i="82"/>
  <c r="D201" i="82"/>
  <c r="D202" i="82"/>
  <c r="D203" i="82"/>
  <c r="D205" i="82"/>
  <c r="D206" i="82"/>
  <c r="D207" i="82"/>
  <c r="D208" i="82"/>
  <c r="D209" i="82"/>
  <c r="D39" i="82"/>
  <c r="D25" i="82"/>
  <c r="D210" i="82"/>
  <c r="D211" i="82"/>
  <c r="D212" i="82"/>
  <c r="D53" i="82"/>
  <c r="D48" i="82"/>
  <c r="D49" i="82"/>
  <c r="H5" i="87"/>
  <c r="H6" i="87"/>
  <c r="H7" i="87"/>
  <c r="H8" i="87"/>
  <c r="H9" i="87"/>
  <c r="H10" i="87"/>
  <c r="H11" i="87"/>
  <c r="I136" i="82"/>
  <c r="I164" i="82"/>
  <c r="I208" i="82"/>
  <c r="I145" i="82"/>
  <c r="I114" i="82"/>
  <c r="I178" i="82"/>
  <c r="I232" i="82"/>
  <c r="I73" i="82"/>
  <c r="I222" i="82"/>
  <c r="I201" i="82"/>
  <c r="I133" i="82"/>
  <c r="I139" i="82"/>
  <c r="I89" i="82"/>
  <c r="I193" i="82"/>
  <c r="I221" i="82"/>
  <c r="I243" i="82"/>
  <c r="I44" i="82"/>
  <c r="I87" i="82"/>
  <c r="I52" i="82"/>
  <c r="I166" i="82"/>
  <c r="I216" i="82"/>
  <c r="I40" i="82"/>
  <c r="I213" i="82"/>
  <c r="I49" i="82"/>
  <c r="I224" i="82"/>
  <c r="I129" i="82"/>
  <c r="I24" i="82"/>
  <c r="I29" i="82"/>
  <c r="I241" i="82"/>
  <c r="I77" i="82"/>
  <c r="I174" i="82"/>
  <c r="I245" i="82"/>
  <c r="I39" i="82"/>
  <c r="I229" i="82"/>
  <c r="I41" i="82"/>
  <c r="I223" i="82"/>
  <c r="I159" i="82"/>
  <c r="I42" i="82"/>
  <c r="I187" i="82"/>
  <c r="I228" i="82"/>
  <c r="I43" i="82"/>
  <c r="I233" i="82"/>
  <c r="I45" i="82"/>
  <c r="I46" i="82"/>
  <c r="I47" i="82"/>
  <c r="I48" i="82"/>
  <c r="I240" i="82"/>
  <c r="I236" i="82"/>
  <c r="I254" i="82"/>
  <c r="I35" i="82"/>
  <c r="I199" i="82"/>
  <c r="I50" i="82"/>
  <c r="I51" i="82"/>
  <c r="I53" i="82"/>
  <c r="I54" i="82"/>
  <c r="I33" i="82"/>
  <c r="I234" i="82"/>
  <c r="I55" i="82"/>
  <c r="I56" i="82"/>
  <c r="I251" i="82"/>
  <c r="I57" i="82"/>
  <c r="I165" i="82"/>
  <c r="I184" i="82"/>
  <c r="I161" i="82"/>
  <c r="I59" i="82"/>
  <c r="I154" i="82"/>
  <c r="I60" i="82"/>
  <c r="I61" i="82"/>
  <c r="I62" i="82"/>
  <c r="I63" i="82"/>
  <c r="I64" i="82"/>
  <c r="I19" i="82"/>
  <c r="I18" i="82"/>
  <c r="I17" i="82"/>
  <c r="I14" i="82"/>
  <c r="I12" i="82"/>
  <c r="I65" i="82"/>
  <c r="I171" i="82"/>
  <c r="I66" i="82"/>
  <c r="I156" i="82"/>
  <c r="I192" i="82"/>
  <c r="I68" i="82"/>
  <c r="I69" i="82"/>
  <c r="I70" i="82"/>
  <c r="I71" i="82"/>
  <c r="I72" i="82"/>
  <c r="I253" i="82"/>
  <c r="I74" i="82"/>
  <c r="I75" i="82"/>
  <c r="I177" i="82"/>
  <c r="I162" i="82"/>
  <c r="I76" i="82"/>
  <c r="I157" i="82"/>
  <c r="I175" i="82"/>
  <c r="I78" i="82"/>
  <c r="I79" i="82"/>
  <c r="I80" i="82"/>
  <c r="I81" i="82"/>
  <c r="I155" i="82"/>
  <c r="I248" i="82"/>
  <c r="I191" i="82"/>
  <c r="I218" i="82"/>
  <c r="I82" i="82"/>
  <c r="I83" i="82"/>
  <c r="I84" i="82"/>
  <c r="I169" i="82"/>
  <c r="I86" i="82"/>
  <c r="I219" i="82"/>
  <c r="I88" i="82"/>
  <c r="I179" i="82"/>
  <c r="I167" i="82"/>
  <c r="I230" i="82"/>
  <c r="I90" i="82"/>
  <c r="I252" i="82"/>
  <c r="I92" i="82"/>
  <c r="I93" i="82"/>
  <c r="I94" i="82"/>
  <c r="I95" i="82"/>
  <c r="I96" i="82"/>
  <c r="I239" i="82"/>
  <c r="I225" i="82"/>
  <c r="I99" i="82"/>
  <c r="I204" i="82"/>
  <c r="I101" i="82"/>
  <c r="I168" i="82"/>
  <c r="I202" i="82"/>
  <c r="I103" i="82"/>
  <c r="I210" i="82"/>
  <c r="I244" i="82"/>
  <c r="I15" i="82"/>
  <c r="I170" i="82"/>
  <c r="I104" i="82"/>
  <c r="I106" i="82"/>
  <c r="I176" i="82"/>
  <c r="I173" i="82"/>
  <c r="I107" i="82"/>
  <c r="I21" i="82"/>
  <c r="I215" i="82"/>
  <c r="I108" i="82"/>
  <c r="I185" i="82"/>
  <c r="I109" i="82"/>
  <c r="I180" i="82"/>
  <c r="I111" i="82"/>
  <c r="I112" i="82"/>
  <c r="I188" i="82"/>
  <c r="I247" i="82"/>
  <c r="I113" i="82"/>
  <c r="I116" i="82"/>
  <c r="I117" i="82"/>
  <c r="I119" i="82"/>
  <c r="I158" i="82"/>
  <c r="I120" i="82"/>
  <c r="I121" i="82"/>
  <c r="I237" i="82"/>
  <c r="I122" i="82"/>
  <c r="I26" i="82"/>
  <c r="I37" i="82"/>
  <c r="I27" i="82"/>
  <c r="I123" i="82"/>
  <c r="I163" i="82"/>
  <c r="I28" i="82"/>
  <c r="I124" i="82"/>
  <c r="I211" i="82"/>
  <c r="I181" i="82"/>
  <c r="I125" i="82"/>
  <c r="I189" i="82"/>
  <c r="I127" i="82"/>
  <c r="I195" i="82"/>
  <c r="I128" i="82"/>
  <c r="I238" i="82"/>
  <c r="I130" i="82"/>
  <c r="I131" i="82"/>
  <c r="I25" i="82"/>
  <c r="I226" i="82"/>
  <c r="I135" i="82"/>
  <c r="I172" i="82"/>
  <c r="I194" i="82"/>
  <c r="I137" i="82"/>
  <c r="I231" i="82"/>
  <c r="I31" i="82"/>
  <c r="I23" i="82"/>
  <c r="I138" i="82"/>
  <c r="I227" i="82"/>
  <c r="I203" i="82"/>
  <c r="I183" i="82"/>
  <c r="I140" i="82"/>
  <c r="I141" i="82"/>
  <c r="I242" i="82"/>
  <c r="I142" i="82"/>
  <c r="I250" i="82"/>
  <c r="I207" i="82"/>
  <c r="I143" i="82"/>
  <c r="I144" i="82"/>
  <c r="I11" i="82"/>
  <c r="I146" i="82"/>
  <c r="I147" i="82"/>
  <c r="I38" i="82"/>
  <c r="I67" i="82"/>
  <c r="I58" i="82"/>
  <c r="I205" i="82"/>
  <c r="I102" i="82"/>
  <c r="I206" i="82"/>
  <c r="I20" i="82"/>
  <c r="I186" i="82"/>
  <c r="I246" i="82"/>
  <c r="I85" i="82"/>
  <c r="I30" i="82"/>
  <c r="I160" i="82"/>
  <c r="I126" i="82"/>
  <c r="I98" i="82"/>
  <c r="I97" i="82"/>
  <c r="I198" i="82"/>
  <c r="I16" i="82"/>
  <c r="I34" i="82"/>
  <c r="I235" i="82"/>
  <c r="I100" i="82"/>
  <c r="I36" i="82"/>
  <c r="I196" i="82"/>
  <c r="I182" i="82"/>
  <c r="I105" i="82"/>
  <c r="I115" i="82"/>
  <c r="I212" i="82"/>
  <c r="I132" i="82"/>
  <c r="I220" i="82"/>
  <c r="I134" i="82"/>
  <c r="I249" i="82"/>
  <c r="I13" i="82"/>
  <c r="I118" i="82"/>
  <c r="I110" i="82"/>
  <c r="I91" i="82"/>
  <c r="B5" i="82"/>
  <c r="C5" i="82"/>
  <c r="I255" i="82" l="1"/>
  <c r="D213" i="82"/>
  <c r="B6" i="82"/>
  <c r="C6" i="82"/>
  <c r="D6" i="82" s="1"/>
  <c r="D4" i="82"/>
  <c r="E4" i="82"/>
  <c r="D5" i="82"/>
  <c r="E5" i="82"/>
  <c r="H4" i="85"/>
  <c r="D11" i="83"/>
  <c r="H4" i="97"/>
  <c r="I4" i="97"/>
  <c r="H162" i="95"/>
  <c r="H25" i="95"/>
  <c r="H175" i="95"/>
  <c r="H7" i="95"/>
  <c r="H40" i="95"/>
  <c r="H143" i="95"/>
  <c r="H172" i="95"/>
  <c r="H14" i="95"/>
  <c r="H12" i="95"/>
  <c r="H145" i="95"/>
  <c r="H200" i="95"/>
  <c r="H153" i="95"/>
  <c r="H39" i="95"/>
  <c r="H220" i="95"/>
  <c r="L220" i="95" s="1"/>
  <c r="H35" i="95"/>
  <c r="H16" i="95"/>
  <c r="H118" i="95"/>
  <c r="H219" i="95"/>
  <c r="L219" i="95" s="1"/>
  <c r="H93" i="95"/>
  <c r="H19" i="95"/>
  <c r="H26" i="95"/>
  <c r="H33" i="95"/>
  <c r="H72" i="95"/>
  <c r="H191" i="95"/>
  <c r="K191" i="95" s="1"/>
  <c r="H108" i="95"/>
  <c r="H142" i="95"/>
  <c r="H75" i="95"/>
  <c r="H96" i="95"/>
  <c r="H198" i="95"/>
  <c r="H34" i="95"/>
  <c r="H183" i="95"/>
  <c r="H181" i="95"/>
  <c r="H102" i="95"/>
  <c r="H131" i="95"/>
  <c r="H178" i="95"/>
  <c r="L178" i="95" s="1"/>
  <c r="H79" i="95"/>
  <c r="H127" i="95"/>
  <c r="H155" i="95"/>
  <c r="H15" i="95"/>
  <c r="H194" i="95"/>
  <c r="H122" i="95"/>
  <c r="H36" i="95"/>
  <c r="H65" i="95"/>
  <c r="H229" i="95"/>
  <c r="L229" i="95" s="1"/>
  <c r="H152" i="95"/>
  <c r="H103" i="95"/>
  <c r="H27" i="95"/>
  <c r="H82" i="95"/>
  <c r="H92" i="95"/>
  <c r="H136" i="95"/>
  <c r="H165" i="95"/>
  <c r="H85" i="95"/>
  <c r="H222" i="95"/>
  <c r="L222" i="95" s="1"/>
  <c r="H61" i="95"/>
  <c r="H80" i="95"/>
  <c r="H97" i="95"/>
  <c r="H76" i="95"/>
  <c r="H55" i="95"/>
  <c r="H43" i="95"/>
  <c r="H117" i="95"/>
  <c r="H42" i="95"/>
  <c r="H231" i="95"/>
  <c r="L231" i="95" s="1"/>
  <c r="H5" i="95"/>
  <c r="H134" i="95"/>
  <c r="H164" i="95"/>
  <c r="H91" i="95"/>
  <c r="H48" i="95"/>
  <c r="H199" i="95"/>
  <c r="H146" i="95"/>
  <c r="H190" i="95"/>
  <c r="H11" i="95"/>
  <c r="H71" i="95"/>
  <c r="H195" i="95"/>
  <c r="H139" i="95"/>
  <c r="H179" i="95"/>
  <c r="H28" i="95"/>
  <c r="H20" i="95"/>
  <c r="H74" i="95"/>
  <c r="H41" i="95"/>
  <c r="H169" i="95"/>
  <c r="H133" i="95"/>
  <c r="K133" i="95" s="1"/>
  <c r="H233" i="95"/>
  <c r="L233" i="95" s="1"/>
  <c r="H84" i="95"/>
  <c r="H99" i="95"/>
  <c r="H124" i="95"/>
  <c r="H218" i="95"/>
  <c r="H129" i="95"/>
  <c r="H23" i="95"/>
  <c r="H81" i="95"/>
  <c r="H119" i="95"/>
  <c r="H9" i="95"/>
  <c r="H60" i="95"/>
  <c r="H197" i="95"/>
  <c r="K197" i="95" s="1"/>
  <c r="H24" i="95"/>
  <c r="H95" i="95"/>
  <c r="H193" i="95"/>
  <c r="H168" i="95"/>
  <c r="H59" i="95"/>
  <c r="H187" i="95"/>
  <c r="H94" i="95"/>
  <c r="H173" i="95"/>
  <c r="H135" i="95"/>
  <c r="H196" i="95"/>
  <c r="H209" i="95"/>
  <c r="K209" i="95" s="1"/>
  <c r="H56" i="95"/>
  <c r="H52" i="95"/>
  <c r="H121" i="95"/>
  <c r="H180" i="95"/>
  <c r="H29" i="95"/>
  <c r="H210" i="95"/>
  <c r="L210" i="95" s="1"/>
  <c r="H126" i="95"/>
  <c r="H211" i="95"/>
  <c r="L211" i="95" s="1"/>
  <c r="H182" i="95"/>
  <c r="H78" i="95"/>
  <c r="H83" i="95"/>
  <c r="H157" i="95"/>
  <c r="H215" i="95"/>
  <c r="K215" i="95" s="1"/>
  <c r="H54" i="95"/>
  <c r="H125" i="95"/>
  <c r="H87" i="95"/>
  <c r="H225" i="95"/>
  <c r="L225" i="95" s="1"/>
  <c r="H223" i="95"/>
  <c r="K223" i="95" s="1"/>
  <c r="H21" i="95"/>
  <c r="H148" i="95"/>
  <c r="H73" i="95"/>
  <c r="H86" i="95"/>
  <c r="H70" i="95"/>
  <c r="H47" i="95"/>
  <c r="H130" i="95"/>
  <c r="H174" i="95"/>
  <c r="H57" i="95"/>
  <c r="H230" i="95"/>
  <c r="H106" i="95"/>
  <c r="K106" i="95" s="1"/>
  <c r="H202" i="95"/>
  <c r="H62" i="95"/>
  <c r="H216" i="95"/>
  <c r="L216" i="95" s="1"/>
  <c r="H204" i="95"/>
  <c r="H17" i="95"/>
  <c r="H69" i="95"/>
  <c r="H224" i="95"/>
  <c r="L224" i="95" s="1"/>
  <c r="H107" i="95"/>
  <c r="H232" i="95"/>
  <c r="H217" i="95"/>
  <c r="L217" i="95" s="1"/>
  <c r="H31" i="95"/>
  <c r="H109" i="95"/>
  <c r="L109" i="95" s="1"/>
  <c r="H58" i="95"/>
  <c r="H138" i="95"/>
  <c r="L138" i="95" s="1"/>
  <c r="H105" i="95"/>
  <c r="H53" i="95"/>
  <c r="H149" i="95"/>
  <c r="H171" i="95"/>
  <c r="H158" i="95"/>
  <c r="H167" i="95"/>
  <c r="L167" i="95" s="1"/>
  <c r="H166" i="95"/>
  <c r="H208" i="95"/>
  <c r="K208" i="95" s="1"/>
  <c r="H66" i="95"/>
  <c r="H10" i="95"/>
  <c r="H115" i="95"/>
  <c r="H123" i="95"/>
  <c r="H205" i="95"/>
  <c r="L205" i="95" s="1"/>
  <c r="H100" i="95"/>
  <c r="H132" i="95"/>
  <c r="H13" i="95"/>
  <c r="H170" i="95"/>
  <c r="L170" i="95" s="1"/>
  <c r="H114" i="95"/>
  <c r="H104" i="95"/>
  <c r="H176" i="95"/>
  <c r="H228" i="95"/>
  <c r="L228" i="95" s="1"/>
  <c r="H64" i="95"/>
  <c r="H226" i="95"/>
  <c r="K226" i="95" s="1"/>
  <c r="H185" i="95"/>
  <c r="H101" i="95"/>
  <c r="H77" i="95"/>
  <c r="H44" i="95"/>
  <c r="H221" i="95"/>
  <c r="H214" i="95"/>
  <c r="L214" i="95" s="1"/>
  <c r="H45" i="95"/>
  <c r="H113" i="95"/>
  <c r="H90" i="95"/>
  <c r="H30" i="95"/>
  <c r="H151" i="95"/>
  <c r="H203" i="95"/>
  <c r="H212" i="95"/>
  <c r="H38" i="95"/>
  <c r="H50" i="95"/>
  <c r="H206" i="95"/>
  <c r="K206" i="95" s="1"/>
  <c r="H140" i="95"/>
  <c r="H98" i="95"/>
  <c r="H186" i="95"/>
  <c r="L186" i="95" s="1"/>
  <c r="H207" i="95"/>
  <c r="H201" i="95"/>
  <c r="L201" i="95" s="1"/>
  <c r="H32" i="95"/>
  <c r="H18" i="95"/>
  <c r="H110" i="95"/>
  <c r="H213" i="95"/>
  <c r="L213" i="95" s="1"/>
  <c r="H154" i="95"/>
  <c r="H68" i="95"/>
  <c r="H156" i="95"/>
  <c r="H184" i="95"/>
  <c r="H6" i="95"/>
  <c r="H227" i="95"/>
  <c r="L227" i="95" s="1"/>
  <c r="H163" i="95"/>
  <c r="H147" i="95"/>
  <c r="H111" i="95"/>
  <c r="H128" i="95"/>
  <c r="L128" i="95" s="1"/>
  <c r="H22" i="95"/>
  <c r="H188" i="95"/>
  <c r="H159" i="95"/>
  <c r="H144" i="95"/>
  <c r="H88" i="95"/>
  <c r="H161" i="95"/>
  <c r="H63" i="95"/>
  <c r="B234" i="95"/>
  <c r="F234" i="95"/>
  <c r="G234" i="95"/>
  <c r="C4" i="94"/>
  <c r="E7" i="94"/>
  <c r="H4" i="93"/>
  <c r="I4" i="93"/>
  <c r="B142" i="93"/>
  <c r="F142" i="93"/>
  <c r="D4" i="92"/>
  <c r="D5" i="92"/>
  <c r="D6" i="92"/>
  <c r="D7" i="92"/>
  <c r="D8" i="92"/>
  <c r="D9" i="92"/>
  <c r="D10" i="92"/>
  <c r="D11" i="92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2" i="92"/>
  <c r="D43" i="92"/>
  <c r="D44" i="92"/>
  <c r="D45" i="92"/>
  <c r="D46" i="92"/>
  <c r="D47" i="92"/>
  <c r="D48" i="92"/>
  <c r="D49" i="92"/>
  <c r="D50" i="92"/>
  <c r="D51" i="92"/>
  <c r="D52" i="92"/>
  <c r="D53" i="92"/>
  <c r="D54" i="92"/>
  <c r="D55" i="92"/>
  <c r="D56" i="92"/>
  <c r="D57" i="92"/>
  <c r="D58" i="92"/>
  <c r="D59" i="92"/>
  <c r="D60" i="92"/>
  <c r="D61" i="92"/>
  <c r="D62" i="92"/>
  <c r="D63" i="92"/>
  <c r="D64" i="92"/>
  <c r="D65" i="92"/>
  <c r="D66" i="92"/>
  <c r="D67" i="92"/>
  <c r="D68" i="92"/>
  <c r="D69" i="92"/>
  <c r="D70" i="92"/>
  <c r="D71" i="92"/>
  <c r="D72" i="92"/>
  <c r="D73" i="92"/>
  <c r="D74" i="92"/>
  <c r="D75" i="92"/>
  <c r="D76" i="92"/>
  <c r="D77" i="92"/>
  <c r="D78" i="92"/>
  <c r="D79" i="92"/>
  <c r="D80" i="92"/>
  <c r="D81" i="92"/>
  <c r="D82" i="92"/>
  <c r="D83" i="92"/>
  <c r="D84" i="92"/>
  <c r="D85" i="92"/>
  <c r="D86" i="92"/>
  <c r="D87" i="92"/>
  <c r="D88" i="92"/>
  <c r="D89" i="92"/>
  <c r="D90" i="92"/>
  <c r="D91" i="92"/>
  <c r="D92" i="92"/>
  <c r="D93" i="92"/>
  <c r="D94" i="92"/>
  <c r="D95" i="92"/>
  <c r="D96" i="92"/>
  <c r="D97" i="92"/>
  <c r="D98" i="92"/>
  <c r="D99" i="92"/>
  <c r="D100" i="92"/>
  <c r="D101" i="92"/>
  <c r="D102" i="92"/>
  <c r="D103" i="92"/>
  <c r="D104" i="92"/>
  <c r="D105" i="92"/>
  <c r="D106" i="92"/>
  <c r="D107" i="92"/>
  <c r="D108" i="92"/>
  <c r="D109" i="92"/>
  <c r="D110" i="92"/>
  <c r="D111" i="92"/>
  <c r="D112" i="92"/>
  <c r="D113" i="92"/>
  <c r="D114" i="92"/>
  <c r="D115" i="92"/>
  <c r="D116" i="92"/>
  <c r="D117" i="92"/>
  <c r="D118" i="92"/>
  <c r="D119" i="92"/>
  <c r="D120" i="92"/>
  <c r="D121" i="92"/>
  <c r="D122" i="92"/>
  <c r="D123" i="92"/>
  <c r="D124" i="92"/>
  <c r="D125" i="92"/>
  <c r="D126" i="92"/>
  <c r="D127" i="92"/>
  <c r="D128" i="92"/>
  <c r="D129" i="92"/>
  <c r="D130" i="92"/>
  <c r="D131" i="92"/>
  <c r="D132" i="92"/>
  <c r="D133" i="92"/>
  <c r="D134" i="92"/>
  <c r="D135" i="92"/>
  <c r="D136" i="92"/>
  <c r="D137" i="92"/>
  <c r="D138" i="92"/>
  <c r="D139" i="92"/>
  <c r="D140" i="92"/>
  <c r="D141" i="92"/>
  <c r="D142" i="92"/>
  <c r="D143" i="92"/>
  <c r="D144" i="92"/>
  <c r="D145" i="92"/>
  <c r="D146" i="92"/>
  <c r="D147" i="92"/>
  <c r="D148" i="92"/>
  <c r="D149" i="92"/>
  <c r="D150" i="92"/>
  <c r="D151" i="92"/>
  <c r="D152" i="92"/>
  <c r="D153" i="92"/>
  <c r="D154" i="92"/>
  <c r="D155" i="92"/>
  <c r="D156" i="92"/>
  <c r="D157" i="92"/>
  <c r="D158" i="92"/>
  <c r="D159" i="92"/>
  <c r="D160" i="92"/>
  <c r="D161" i="92"/>
  <c r="D162" i="92"/>
  <c r="D163" i="92"/>
  <c r="D164" i="92"/>
  <c r="D165" i="92"/>
  <c r="D166" i="92"/>
  <c r="D167" i="92"/>
  <c r="D168" i="92"/>
  <c r="D169" i="92"/>
  <c r="D170" i="92"/>
  <c r="D171" i="92"/>
  <c r="D172" i="92"/>
  <c r="D173" i="92"/>
  <c r="D174" i="92"/>
  <c r="D175" i="92"/>
  <c r="D176" i="92"/>
  <c r="D177" i="92"/>
  <c r="D178" i="92"/>
  <c r="D179" i="92"/>
  <c r="D180" i="92"/>
  <c r="D181" i="92"/>
  <c r="D182" i="92"/>
  <c r="D183" i="92"/>
  <c r="D184" i="92"/>
  <c r="D185" i="92"/>
  <c r="D186" i="92"/>
  <c r="D187" i="92"/>
  <c r="D188" i="92"/>
  <c r="D189" i="92"/>
  <c r="D190" i="92"/>
  <c r="D191" i="92"/>
  <c r="D192" i="92"/>
  <c r="D193" i="92"/>
  <c r="D194" i="92"/>
  <c r="D195" i="92"/>
  <c r="D196" i="92"/>
  <c r="D197" i="92"/>
  <c r="D198" i="92"/>
  <c r="D199" i="92"/>
  <c r="D200" i="92"/>
  <c r="D201" i="92"/>
  <c r="D202" i="92"/>
  <c r="D203" i="92"/>
  <c r="D204" i="92"/>
  <c r="D205" i="92"/>
  <c r="D206" i="92"/>
  <c r="D207" i="92"/>
  <c r="D208" i="92"/>
  <c r="D209" i="92"/>
  <c r="D210" i="92"/>
  <c r="D211" i="92"/>
  <c r="D212" i="92"/>
  <c r="D213" i="92"/>
  <c r="D214" i="92"/>
  <c r="D215" i="92"/>
  <c r="D216" i="92"/>
  <c r="D217" i="92"/>
  <c r="D218" i="92"/>
  <c r="D219" i="92"/>
  <c r="D220" i="92"/>
  <c r="D221" i="92"/>
  <c r="D222" i="92"/>
  <c r="D223" i="92"/>
  <c r="D224" i="92"/>
  <c r="D225" i="92"/>
  <c r="D226" i="92"/>
  <c r="D227" i="92"/>
  <c r="D228" i="92"/>
  <c r="D229" i="92"/>
  <c r="D230" i="92"/>
  <c r="D231" i="92"/>
  <c r="D232" i="92"/>
  <c r="D233" i="92"/>
  <c r="D234" i="92"/>
  <c r="D235" i="92"/>
  <c r="D236" i="92"/>
  <c r="D237" i="92"/>
  <c r="D238" i="92"/>
  <c r="D239" i="92"/>
  <c r="D240" i="92"/>
  <c r="D241" i="92"/>
  <c r="D242" i="92"/>
  <c r="D243" i="92"/>
  <c r="D244" i="92"/>
  <c r="D245" i="92"/>
  <c r="D246" i="92"/>
  <c r="D247" i="92"/>
  <c r="D248" i="92"/>
  <c r="D249" i="92"/>
  <c r="D250" i="92"/>
  <c r="D251" i="92"/>
  <c r="D3" i="91"/>
  <c r="D4" i="91"/>
  <c r="D5" i="91"/>
  <c r="D6" i="91"/>
  <c r="D7" i="91"/>
  <c r="D8" i="91"/>
  <c r="D9" i="9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D104" i="91"/>
  <c r="D105" i="91"/>
  <c r="D106" i="91"/>
  <c r="D107" i="91"/>
  <c r="D108" i="91"/>
  <c r="D109" i="91"/>
  <c r="D110" i="91"/>
  <c r="D111" i="91"/>
  <c r="D112" i="91"/>
  <c r="D113" i="91"/>
  <c r="D114" i="91"/>
  <c r="D115" i="91"/>
  <c r="D116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D129" i="91"/>
  <c r="D130" i="91"/>
  <c r="D131" i="91"/>
  <c r="D132" i="91"/>
  <c r="D133" i="91"/>
  <c r="D134" i="91"/>
  <c r="D135" i="91"/>
  <c r="D136" i="91"/>
  <c r="D137" i="91"/>
  <c r="D138" i="91"/>
  <c r="D139" i="91"/>
  <c r="D140" i="91"/>
  <c r="D141" i="91"/>
  <c r="D142" i="91"/>
  <c r="D143" i="91"/>
  <c r="D144" i="91"/>
  <c r="D145" i="91"/>
  <c r="D146" i="91"/>
  <c r="D147" i="91"/>
  <c r="D148" i="91"/>
  <c r="D149" i="91"/>
  <c r="D150" i="91"/>
  <c r="D151" i="91"/>
  <c r="D152" i="91"/>
  <c r="D153" i="91"/>
  <c r="D154" i="91"/>
  <c r="D155" i="91"/>
  <c r="D156" i="91"/>
  <c r="D157" i="91"/>
  <c r="D158" i="91"/>
  <c r="D159" i="91"/>
  <c r="D160" i="91"/>
  <c r="D161" i="91"/>
  <c r="D162" i="91"/>
  <c r="D163" i="91"/>
  <c r="D164" i="91"/>
  <c r="D165" i="91"/>
  <c r="E4" i="90"/>
  <c r="F4" i="90"/>
  <c r="E5" i="90"/>
  <c r="F5" i="90"/>
  <c r="E6" i="90"/>
  <c r="F6" i="90"/>
  <c r="E7" i="90"/>
  <c r="F7" i="90"/>
  <c r="E8" i="90"/>
  <c r="F8" i="90"/>
  <c r="E9" i="90"/>
  <c r="F9" i="90"/>
  <c r="E10" i="90"/>
  <c r="F10" i="90"/>
  <c r="E11" i="90"/>
  <c r="F11" i="90"/>
  <c r="E12" i="90"/>
  <c r="F12" i="90"/>
  <c r="E13" i="90"/>
  <c r="F13" i="90"/>
  <c r="E14" i="90"/>
  <c r="F14" i="90"/>
  <c r="C4" i="87"/>
  <c r="D14" i="87"/>
  <c r="E4" i="87" s="1"/>
  <c r="F14" i="87"/>
  <c r="G4" i="87" s="1"/>
  <c r="H4" i="86"/>
  <c r="H5" i="86"/>
  <c r="H6" i="86"/>
  <c r="C4" i="86"/>
  <c r="C10" i="86" s="1"/>
  <c r="E4" i="86"/>
  <c r="E10" i="86" s="1"/>
  <c r="H5" i="85"/>
  <c r="H6" i="85"/>
  <c r="H7" i="85"/>
  <c r="H8" i="85"/>
  <c r="H9" i="85"/>
  <c r="H10" i="85"/>
  <c r="B12" i="85"/>
  <c r="C4" i="85" s="1"/>
  <c r="G8" i="85"/>
  <c r="E3" i="84"/>
  <c r="D3" i="83"/>
  <c r="E3" i="83"/>
  <c r="D4" i="83"/>
  <c r="E4" i="83"/>
  <c r="D5" i="83"/>
  <c r="E5" i="83"/>
  <c r="D6" i="83"/>
  <c r="E6" i="83"/>
  <c r="D7" i="83"/>
  <c r="E7" i="83"/>
  <c r="D8" i="83"/>
  <c r="E8" i="83"/>
  <c r="D9" i="83"/>
  <c r="E9" i="83"/>
  <c r="D10" i="83"/>
  <c r="E10" i="83"/>
  <c r="E11" i="83"/>
  <c r="D12" i="83"/>
  <c r="E12" i="83"/>
  <c r="D13" i="83"/>
  <c r="E13" i="83"/>
  <c r="D14" i="83"/>
  <c r="K111" i="95" l="1"/>
  <c r="L111" i="95"/>
  <c r="L99" i="95"/>
  <c r="K99" i="95"/>
  <c r="K199" i="95"/>
  <c r="L199" i="95"/>
  <c r="K85" i="95"/>
  <c r="L85" i="95"/>
  <c r="K161" i="95"/>
  <c r="L161" i="95"/>
  <c r="L147" i="95"/>
  <c r="K147" i="95"/>
  <c r="L140" i="95"/>
  <c r="K140" i="95"/>
  <c r="K90" i="95"/>
  <c r="L90" i="95"/>
  <c r="K185" i="95"/>
  <c r="L185" i="95"/>
  <c r="L13" i="95"/>
  <c r="K13" i="95"/>
  <c r="K69" i="95"/>
  <c r="L69" i="95"/>
  <c r="K57" i="95"/>
  <c r="L57" i="95"/>
  <c r="L21" i="95"/>
  <c r="K21" i="95"/>
  <c r="L83" i="95"/>
  <c r="K83" i="95"/>
  <c r="K121" i="95"/>
  <c r="L121" i="95"/>
  <c r="K187" i="95"/>
  <c r="L187" i="95"/>
  <c r="K9" i="95"/>
  <c r="L9" i="95"/>
  <c r="L84" i="95"/>
  <c r="K84" i="95"/>
  <c r="K179" i="95"/>
  <c r="L179" i="95"/>
  <c r="L48" i="95"/>
  <c r="K48" i="95"/>
  <c r="L43" i="95"/>
  <c r="K43" i="95"/>
  <c r="K165" i="95"/>
  <c r="L165" i="95"/>
  <c r="K65" i="95"/>
  <c r="L65" i="95"/>
  <c r="L75" i="95"/>
  <c r="K75" i="95"/>
  <c r="L93" i="95"/>
  <c r="K93" i="95"/>
  <c r="L200" i="95"/>
  <c r="K200" i="95"/>
  <c r="L175" i="95"/>
  <c r="K175" i="95"/>
  <c r="K98" i="95"/>
  <c r="L98" i="95"/>
  <c r="L105" i="95"/>
  <c r="K105" i="95"/>
  <c r="K94" i="95"/>
  <c r="L94" i="95"/>
  <c r="L28" i="95"/>
  <c r="K28" i="95"/>
  <c r="K117" i="95"/>
  <c r="L117" i="95"/>
  <c r="K7" i="95"/>
  <c r="L7" i="95"/>
  <c r="K88" i="95"/>
  <c r="L88" i="95"/>
  <c r="K163" i="95"/>
  <c r="L163" i="95"/>
  <c r="L110" i="95"/>
  <c r="K110" i="95"/>
  <c r="K113" i="95"/>
  <c r="L113" i="95"/>
  <c r="K132" i="95"/>
  <c r="L132" i="95"/>
  <c r="K166" i="95"/>
  <c r="L166" i="95"/>
  <c r="K58" i="95"/>
  <c r="L58" i="95"/>
  <c r="L17" i="95"/>
  <c r="K17" i="95"/>
  <c r="K174" i="95"/>
  <c r="L174" i="95"/>
  <c r="K78" i="95"/>
  <c r="L78" i="95"/>
  <c r="L52" i="95"/>
  <c r="K52" i="95"/>
  <c r="L59" i="95"/>
  <c r="K59" i="95"/>
  <c r="K119" i="95"/>
  <c r="L119" i="95"/>
  <c r="K139" i="95"/>
  <c r="L139" i="95"/>
  <c r="L91" i="95"/>
  <c r="K91" i="95"/>
  <c r="K55" i="95"/>
  <c r="L55" i="95"/>
  <c r="K136" i="95"/>
  <c r="L136" i="95"/>
  <c r="L36" i="95"/>
  <c r="K36" i="95"/>
  <c r="L131" i="95"/>
  <c r="K131" i="95"/>
  <c r="L142" i="95"/>
  <c r="K142" i="95"/>
  <c r="K145" i="95"/>
  <c r="L145" i="95"/>
  <c r="K25" i="95"/>
  <c r="L25" i="95"/>
  <c r="L180" i="95"/>
  <c r="K180" i="95"/>
  <c r="L96" i="95"/>
  <c r="K96" i="95"/>
  <c r="L144" i="95"/>
  <c r="K144" i="95"/>
  <c r="K18" i="95"/>
  <c r="L18" i="95"/>
  <c r="K50" i="95"/>
  <c r="L50" i="95"/>
  <c r="L45" i="95"/>
  <c r="K45" i="95"/>
  <c r="L64" i="95"/>
  <c r="K64" i="95"/>
  <c r="K100" i="95"/>
  <c r="L100" i="95"/>
  <c r="L204" i="95"/>
  <c r="K204" i="95"/>
  <c r="L130" i="95"/>
  <c r="K130" i="95"/>
  <c r="K182" i="95"/>
  <c r="L182" i="95"/>
  <c r="K56" i="95"/>
  <c r="L56" i="95"/>
  <c r="K168" i="95"/>
  <c r="L168" i="95"/>
  <c r="L81" i="95"/>
  <c r="K81" i="95"/>
  <c r="K195" i="95"/>
  <c r="L195" i="95"/>
  <c r="L164" i="95"/>
  <c r="K164" i="95"/>
  <c r="L76" i="95"/>
  <c r="K76" i="95"/>
  <c r="L92" i="95"/>
  <c r="K92" i="95"/>
  <c r="K122" i="95"/>
  <c r="L122" i="95"/>
  <c r="K102" i="95"/>
  <c r="L102" i="95"/>
  <c r="K108" i="95"/>
  <c r="L108" i="95"/>
  <c r="K118" i="95"/>
  <c r="L118" i="95"/>
  <c r="K12" i="95"/>
  <c r="L12" i="95"/>
  <c r="L162" i="95"/>
  <c r="K162" i="95"/>
  <c r="K101" i="95"/>
  <c r="L101" i="95"/>
  <c r="L148" i="95"/>
  <c r="K148" i="95"/>
  <c r="K153" i="95"/>
  <c r="L153" i="95"/>
  <c r="K159" i="95"/>
  <c r="L159" i="95"/>
  <c r="K6" i="95"/>
  <c r="L6" i="95"/>
  <c r="L32" i="95"/>
  <c r="K32" i="95"/>
  <c r="K38" i="95"/>
  <c r="L38" i="95"/>
  <c r="L158" i="95"/>
  <c r="K158" i="95"/>
  <c r="L31" i="95"/>
  <c r="K31" i="95"/>
  <c r="L47" i="95"/>
  <c r="K47" i="95"/>
  <c r="K87" i="95"/>
  <c r="L87" i="95"/>
  <c r="L193" i="95"/>
  <c r="K193" i="95"/>
  <c r="L23" i="95"/>
  <c r="K23" i="95"/>
  <c r="K169" i="95"/>
  <c r="L169" i="95"/>
  <c r="K71" i="95"/>
  <c r="L71" i="95"/>
  <c r="K134" i="95"/>
  <c r="L134" i="95"/>
  <c r="K97" i="95"/>
  <c r="L97" i="95"/>
  <c r="K82" i="95"/>
  <c r="L82" i="95"/>
  <c r="K194" i="95"/>
  <c r="L194" i="95"/>
  <c r="K181" i="95"/>
  <c r="L181" i="95"/>
  <c r="L16" i="95"/>
  <c r="K16" i="95"/>
  <c r="K14" i="95"/>
  <c r="L14" i="95"/>
  <c r="L63" i="95"/>
  <c r="K63" i="95"/>
  <c r="K66" i="95"/>
  <c r="L66" i="95"/>
  <c r="L60" i="95"/>
  <c r="K60" i="95"/>
  <c r="L79" i="95"/>
  <c r="K79" i="95"/>
  <c r="K188" i="95"/>
  <c r="L188" i="95"/>
  <c r="K184" i="95"/>
  <c r="L184" i="95"/>
  <c r="K212" i="95"/>
  <c r="L212" i="95"/>
  <c r="L221" i="95"/>
  <c r="K221" i="95"/>
  <c r="L176" i="95"/>
  <c r="K176" i="95"/>
  <c r="K123" i="95"/>
  <c r="L123" i="95"/>
  <c r="L171" i="95"/>
  <c r="K171" i="95"/>
  <c r="K62" i="95"/>
  <c r="L62" i="95"/>
  <c r="K70" i="95"/>
  <c r="L70" i="95"/>
  <c r="K125" i="95"/>
  <c r="L125" i="95"/>
  <c r="K126" i="95"/>
  <c r="L126" i="95"/>
  <c r="K196" i="95"/>
  <c r="L196" i="95"/>
  <c r="L95" i="95"/>
  <c r="K95" i="95"/>
  <c r="L129" i="95"/>
  <c r="K129" i="95"/>
  <c r="K41" i="95"/>
  <c r="L41" i="95"/>
  <c r="L11" i="95"/>
  <c r="K11" i="95"/>
  <c r="K5" i="95"/>
  <c r="L5" i="95"/>
  <c r="K80" i="95"/>
  <c r="L80" i="95"/>
  <c r="L27" i="95"/>
  <c r="K27" i="95"/>
  <c r="L15" i="95"/>
  <c r="K15" i="95"/>
  <c r="L183" i="95"/>
  <c r="K183" i="95"/>
  <c r="L72" i="95"/>
  <c r="K72" i="95"/>
  <c r="K35" i="95"/>
  <c r="L35" i="95"/>
  <c r="L172" i="95"/>
  <c r="K172" i="95"/>
  <c r="K30" i="95"/>
  <c r="L30" i="95"/>
  <c r="K157" i="95"/>
  <c r="L157" i="95"/>
  <c r="L19" i="95"/>
  <c r="K19" i="95"/>
  <c r="K22" i="95"/>
  <c r="L22" i="95"/>
  <c r="L156" i="95"/>
  <c r="K156" i="95"/>
  <c r="K207" i="95"/>
  <c r="L207" i="95"/>
  <c r="K44" i="95"/>
  <c r="L44" i="95"/>
  <c r="L104" i="95"/>
  <c r="K104" i="95"/>
  <c r="K115" i="95"/>
  <c r="L115" i="95"/>
  <c r="K149" i="95"/>
  <c r="L149" i="95"/>
  <c r="K232" i="95"/>
  <c r="L232" i="95"/>
  <c r="K86" i="95"/>
  <c r="L86" i="95"/>
  <c r="K54" i="95"/>
  <c r="L54" i="95"/>
  <c r="K135" i="95"/>
  <c r="L135" i="95"/>
  <c r="K24" i="95"/>
  <c r="L24" i="95"/>
  <c r="K218" i="95"/>
  <c r="L218" i="95"/>
  <c r="K74" i="95"/>
  <c r="L74" i="95"/>
  <c r="K190" i="95"/>
  <c r="L190" i="95"/>
  <c r="L61" i="95"/>
  <c r="K61" i="95"/>
  <c r="K103" i="95"/>
  <c r="L103" i="95"/>
  <c r="L155" i="95"/>
  <c r="K155" i="95"/>
  <c r="K34" i="95"/>
  <c r="L34" i="95"/>
  <c r="K33" i="95"/>
  <c r="L33" i="95"/>
  <c r="L143" i="95"/>
  <c r="K143" i="95"/>
  <c r="L154" i="95"/>
  <c r="K154" i="95"/>
  <c r="K230" i="95"/>
  <c r="L230" i="95"/>
  <c r="K68" i="95"/>
  <c r="L68" i="95"/>
  <c r="L151" i="95"/>
  <c r="K151" i="95"/>
  <c r="L77" i="95"/>
  <c r="K77" i="95"/>
  <c r="K114" i="95"/>
  <c r="L114" i="95"/>
  <c r="K10" i="95"/>
  <c r="L10" i="95"/>
  <c r="K53" i="95"/>
  <c r="L53" i="95"/>
  <c r="K107" i="95"/>
  <c r="L107" i="95"/>
  <c r="K73" i="95"/>
  <c r="L73" i="95"/>
  <c r="K29" i="95"/>
  <c r="L29" i="95"/>
  <c r="L173" i="95"/>
  <c r="K173" i="95"/>
  <c r="L124" i="95"/>
  <c r="K124" i="95"/>
  <c r="L20" i="95"/>
  <c r="K20" i="95"/>
  <c r="K146" i="95"/>
  <c r="L146" i="95"/>
  <c r="K42" i="95"/>
  <c r="L42" i="95"/>
  <c r="L152" i="95"/>
  <c r="K152" i="95"/>
  <c r="K127" i="95"/>
  <c r="L127" i="95"/>
  <c r="L198" i="95"/>
  <c r="K198" i="95"/>
  <c r="K26" i="95"/>
  <c r="L26" i="95"/>
  <c r="L39" i="95"/>
  <c r="K39" i="95"/>
  <c r="K40" i="95"/>
  <c r="L40" i="95"/>
  <c r="D175" i="91"/>
  <c r="H234" i="95"/>
  <c r="J82" i="95" s="1"/>
  <c r="E136" i="96"/>
  <c r="E144" i="96"/>
  <c r="E152" i="96"/>
  <c r="E155" i="96"/>
  <c r="E140" i="96"/>
  <c r="E156" i="96"/>
  <c r="E133" i="96"/>
  <c r="E149" i="96"/>
  <c r="E142" i="96"/>
  <c r="E158" i="96"/>
  <c r="E137" i="96"/>
  <c r="E145" i="96"/>
  <c r="E153" i="96"/>
  <c r="E147" i="96"/>
  <c r="E138" i="96"/>
  <c r="E146" i="96"/>
  <c r="E154" i="96"/>
  <c r="E139" i="96"/>
  <c r="E148" i="96"/>
  <c r="E141" i="96"/>
  <c r="E157" i="96"/>
  <c r="E134" i="96"/>
  <c r="E150" i="96"/>
  <c r="E135" i="96"/>
  <c r="E143" i="96"/>
  <c r="E151" i="96"/>
  <c r="E159" i="96"/>
  <c r="C133" i="96"/>
  <c r="C141" i="96"/>
  <c r="C149" i="96"/>
  <c r="C157" i="96"/>
  <c r="C144" i="96"/>
  <c r="C137" i="96"/>
  <c r="C146" i="96"/>
  <c r="C139" i="96"/>
  <c r="C140" i="96"/>
  <c r="C134" i="96"/>
  <c r="C142" i="96"/>
  <c r="C150" i="96"/>
  <c r="C158" i="96"/>
  <c r="C152" i="96"/>
  <c r="C153" i="96"/>
  <c r="C154" i="96"/>
  <c r="C155" i="96"/>
  <c r="C135" i="96"/>
  <c r="C143" i="96"/>
  <c r="C151" i="96"/>
  <c r="C159" i="96"/>
  <c r="C136" i="96"/>
  <c r="C145" i="96"/>
  <c r="C138" i="96"/>
  <c r="C147" i="96"/>
  <c r="C148" i="96"/>
  <c r="C156" i="96"/>
  <c r="G139" i="96"/>
  <c r="G147" i="96"/>
  <c r="G155" i="96"/>
  <c r="G134" i="96"/>
  <c r="G150" i="96"/>
  <c r="G135" i="96"/>
  <c r="G159" i="96"/>
  <c r="G144" i="96"/>
  <c r="G137" i="96"/>
  <c r="G145" i="96"/>
  <c r="G153" i="96"/>
  <c r="G140" i="96"/>
  <c r="G148" i="96"/>
  <c r="G156" i="96"/>
  <c r="G158" i="96"/>
  <c r="G152" i="96"/>
  <c r="G133" i="96"/>
  <c r="G141" i="96"/>
  <c r="G149" i="96"/>
  <c r="G157" i="96"/>
  <c r="G142" i="96"/>
  <c r="G143" i="96"/>
  <c r="G151" i="96"/>
  <c r="G136" i="96"/>
  <c r="G138" i="96"/>
  <c r="G146" i="96"/>
  <c r="G154" i="96"/>
  <c r="E60" i="96"/>
  <c r="C65" i="96"/>
  <c r="G21" i="96"/>
  <c r="G235" i="97"/>
  <c r="G228" i="97"/>
  <c r="G107" i="97"/>
  <c r="G197" i="97"/>
  <c r="G153" i="97"/>
  <c r="G145" i="97"/>
  <c r="G65" i="97"/>
  <c r="C197" i="97"/>
  <c r="C153" i="97"/>
  <c r="C145" i="97"/>
  <c r="C65" i="97"/>
  <c r="C107" i="97"/>
  <c r="C228" i="97"/>
  <c r="E117" i="97"/>
  <c r="E197" i="97"/>
  <c r="E153" i="97"/>
  <c r="E145" i="97"/>
  <c r="E107" i="97"/>
  <c r="E65" i="97"/>
  <c r="E228" i="97"/>
  <c r="E51" i="95"/>
  <c r="E37" i="95"/>
  <c r="E46" i="95"/>
  <c r="E189" i="95"/>
  <c r="E141" i="95"/>
  <c r="E177" i="95"/>
  <c r="E4" i="95"/>
  <c r="E49" i="95"/>
  <c r="E120" i="95"/>
  <c r="E112" i="95"/>
  <c r="E160" i="95"/>
  <c r="E192" i="95"/>
  <c r="E150" i="95"/>
  <c r="E67" i="95"/>
  <c r="E89" i="95"/>
  <c r="E137" i="95"/>
  <c r="C212" i="95"/>
  <c r="C137" i="95"/>
  <c r="C120" i="95"/>
  <c r="C51" i="95"/>
  <c r="C37" i="95"/>
  <c r="C46" i="95"/>
  <c r="C189" i="95"/>
  <c r="C141" i="95"/>
  <c r="C177" i="95"/>
  <c r="C4" i="95"/>
  <c r="C89" i="95"/>
  <c r="C49" i="95"/>
  <c r="C112" i="95"/>
  <c r="C160" i="95"/>
  <c r="C192" i="95"/>
  <c r="C150" i="95"/>
  <c r="C67" i="95"/>
  <c r="C184" i="95"/>
  <c r="G84" i="93"/>
  <c r="G137" i="93"/>
  <c r="G138" i="93"/>
  <c r="G136" i="93"/>
  <c r="G139" i="93"/>
  <c r="G133" i="93"/>
  <c r="G132" i="93"/>
  <c r="G140" i="93"/>
  <c r="G141" i="93"/>
  <c r="G134" i="93"/>
  <c r="G135" i="93"/>
  <c r="E42" i="93"/>
  <c r="E139" i="93"/>
  <c r="E132" i="93"/>
  <c r="E140" i="93"/>
  <c r="E133" i="93"/>
  <c r="E141" i="93"/>
  <c r="E134" i="93"/>
  <c r="E135" i="93"/>
  <c r="E136" i="93"/>
  <c r="E137" i="93"/>
  <c r="E138" i="93"/>
  <c r="C10" i="93"/>
  <c r="C133" i="93"/>
  <c r="C141" i="93"/>
  <c r="C134" i="93"/>
  <c r="C135" i="93"/>
  <c r="C137" i="93"/>
  <c r="C132" i="93"/>
  <c r="C136" i="93"/>
  <c r="C140" i="93"/>
  <c r="C138" i="93"/>
  <c r="C139" i="93"/>
  <c r="G9" i="87"/>
  <c r="G5" i="87"/>
  <c r="E5" i="87"/>
  <c r="E210" i="95"/>
  <c r="E116" i="95"/>
  <c r="C216" i="95"/>
  <c r="C116" i="95"/>
  <c r="C6" i="95"/>
  <c r="E173" i="94"/>
  <c r="E144" i="94"/>
  <c r="E158" i="94"/>
  <c r="E96" i="94"/>
  <c r="E47" i="94"/>
  <c r="G7" i="94"/>
  <c r="G15" i="94"/>
  <c r="G23" i="94"/>
  <c r="G31" i="94"/>
  <c r="G39" i="94"/>
  <c r="G47" i="94"/>
  <c r="G55" i="94"/>
  <c r="G63" i="94"/>
  <c r="G71" i="94"/>
  <c r="G79" i="94"/>
  <c r="G87" i="94"/>
  <c r="G95" i="94"/>
  <c r="G103" i="94"/>
  <c r="G111" i="94"/>
  <c r="G119" i="94"/>
  <c r="G127" i="94"/>
  <c r="G135" i="94"/>
  <c r="G143" i="94"/>
  <c r="G151" i="94"/>
  <c r="G159" i="94"/>
  <c r="G167" i="94"/>
  <c r="G175" i="94"/>
  <c r="G38" i="94"/>
  <c r="G8" i="94"/>
  <c r="G16" i="94"/>
  <c r="G24" i="94"/>
  <c r="G32" i="94"/>
  <c r="G40" i="94"/>
  <c r="G48" i="94"/>
  <c r="G56" i="94"/>
  <c r="G64" i="94"/>
  <c r="G72" i="94"/>
  <c r="G80" i="94"/>
  <c r="G88" i="94"/>
  <c r="G96" i="94"/>
  <c r="G104" i="94"/>
  <c r="G112" i="94"/>
  <c r="G120" i="94"/>
  <c r="G128" i="94"/>
  <c r="G136" i="94"/>
  <c r="G144" i="94"/>
  <c r="G152" i="94"/>
  <c r="G160" i="94"/>
  <c r="G168" i="94"/>
  <c r="G176" i="94"/>
  <c r="G9" i="94"/>
  <c r="G17" i="94"/>
  <c r="G25" i="94"/>
  <c r="G33" i="94"/>
  <c r="G41" i="94"/>
  <c r="G49" i="94"/>
  <c r="G57" i="94"/>
  <c r="G65" i="94"/>
  <c r="G73" i="94"/>
  <c r="G81" i="94"/>
  <c r="G89" i="94"/>
  <c r="G97" i="94"/>
  <c r="G105" i="94"/>
  <c r="G113" i="94"/>
  <c r="G121" i="94"/>
  <c r="G129" i="94"/>
  <c r="G137" i="94"/>
  <c r="G145" i="94"/>
  <c r="G153" i="94"/>
  <c r="G161" i="94"/>
  <c r="G169" i="94"/>
  <c r="G177" i="94"/>
  <c r="G12" i="94"/>
  <c r="G28" i="94"/>
  <c r="G44" i="94"/>
  <c r="G60" i="94"/>
  <c r="G76" i="94"/>
  <c r="G92" i="94"/>
  <c r="G108" i="94"/>
  <c r="G124" i="94"/>
  <c r="G140" i="94"/>
  <c r="G156" i="94"/>
  <c r="G172" i="94"/>
  <c r="G5" i="94"/>
  <c r="G21" i="94"/>
  <c r="G45" i="94"/>
  <c r="G61" i="94"/>
  <c r="G77" i="94"/>
  <c r="G93" i="94"/>
  <c r="G109" i="94"/>
  <c r="G125" i="94"/>
  <c r="G141" i="94"/>
  <c r="G157" i="94"/>
  <c r="G173" i="94"/>
  <c r="G6" i="94"/>
  <c r="G30" i="94"/>
  <c r="G54" i="94"/>
  <c r="G62" i="94"/>
  <c r="G78" i="94"/>
  <c r="G94" i="94"/>
  <c r="G110" i="94"/>
  <c r="G126" i="94"/>
  <c r="G142" i="94"/>
  <c r="G158" i="94"/>
  <c r="G174" i="94"/>
  <c r="G10" i="94"/>
  <c r="G18" i="94"/>
  <c r="G26" i="94"/>
  <c r="G34" i="94"/>
  <c r="G42" i="94"/>
  <c r="G50" i="94"/>
  <c r="G58" i="94"/>
  <c r="G66" i="94"/>
  <c r="G74" i="94"/>
  <c r="G82" i="94"/>
  <c r="G90" i="94"/>
  <c r="G98" i="94"/>
  <c r="G106" i="94"/>
  <c r="G114" i="94"/>
  <c r="G122" i="94"/>
  <c r="G130" i="94"/>
  <c r="G138" i="94"/>
  <c r="G146" i="94"/>
  <c r="G154" i="94"/>
  <c r="G162" i="94"/>
  <c r="G170" i="94"/>
  <c r="G178" i="94"/>
  <c r="G11" i="94"/>
  <c r="G19" i="94"/>
  <c r="G27" i="94"/>
  <c r="G35" i="94"/>
  <c r="G43" i="94"/>
  <c r="G51" i="94"/>
  <c r="G59" i="94"/>
  <c r="G67" i="94"/>
  <c r="G75" i="94"/>
  <c r="G83" i="94"/>
  <c r="G91" i="94"/>
  <c r="G99" i="94"/>
  <c r="G107" i="94"/>
  <c r="G115" i="94"/>
  <c r="G123" i="94"/>
  <c r="G131" i="94"/>
  <c r="G139" i="94"/>
  <c r="G147" i="94"/>
  <c r="G155" i="94"/>
  <c r="G163" i="94"/>
  <c r="G171" i="94"/>
  <c r="G179" i="94"/>
  <c r="G4" i="94"/>
  <c r="G20" i="94"/>
  <c r="G36" i="94"/>
  <c r="G52" i="94"/>
  <c r="G68" i="94"/>
  <c r="G84" i="94"/>
  <c r="G100" i="94"/>
  <c r="G116" i="94"/>
  <c r="G132" i="94"/>
  <c r="G148" i="94"/>
  <c r="G164" i="94"/>
  <c r="G180" i="94"/>
  <c r="G13" i="94"/>
  <c r="G29" i="94"/>
  <c r="G37" i="94"/>
  <c r="G53" i="94"/>
  <c r="G69" i="94"/>
  <c r="G85" i="94"/>
  <c r="G101" i="94"/>
  <c r="G117" i="94"/>
  <c r="G133" i="94"/>
  <c r="G149" i="94"/>
  <c r="G165" i="94"/>
  <c r="G181" i="94"/>
  <c r="G14" i="94"/>
  <c r="G22" i="94"/>
  <c r="G46" i="94"/>
  <c r="G70" i="94"/>
  <c r="G86" i="94"/>
  <c r="G102" i="94"/>
  <c r="G118" i="94"/>
  <c r="G134" i="94"/>
  <c r="G150" i="94"/>
  <c r="G166" i="94"/>
  <c r="G182" i="94"/>
  <c r="E50" i="94"/>
  <c r="D256" i="92"/>
  <c r="E9" i="87"/>
  <c r="E13" i="87"/>
  <c r="E8" i="87"/>
  <c r="G10" i="97"/>
  <c r="H259" i="97"/>
  <c r="E242" i="97"/>
  <c r="E188" i="97"/>
  <c r="E130" i="97"/>
  <c r="G39" i="97"/>
  <c r="E10" i="97"/>
  <c r="E235" i="97"/>
  <c r="G243" i="97"/>
  <c r="E87" i="97"/>
  <c r="G231" i="97"/>
  <c r="E171" i="97"/>
  <c r="C209" i="97"/>
  <c r="G172" i="97"/>
  <c r="E147" i="97"/>
  <c r="E57" i="97"/>
  <c r="G251" i="97"/>
  <c r="G68" i="97"/>
  <c r="G47" i="97"/>
  <c r="E172" i="97"/>
  <c r="E202" i="97"/>
  <c r="E251" i="97"/>
  <c r="G249" i="97"/>
  <c r="G139" i="97"/>
  <c r="E106" i="97"/>
  <c r="E68" i="97"/>
  <c r="E139" i="97"/>
  <c r="E204" i="97"/>
  <c r="E119" i="96"/>
  <c r="E52" i="96"/>
  <c r="E109" i="96"/>
  <c r="E129" i="96"/>
  <c r="E117" i="96"/>
  <c r="E105" i="96"/>
  <c r="E97" i="96"/>
  <c r="G39" i="96"/>
  <c r="E31" i="96"/>
  <c r="E132" i="96"/>
  <c r="E84" i="96"/>
  <c r="G104" i="96"/>
  <c r="E76" i="96"/>
  <c r="E132" i="95"/>
  <c r="E205" i="95"/>
  <c r="E174" i="95"/>
  <c r="E206" i="95"/>
  <c r="E228" i="95"/>
  <c r="E84" i="95"/>
  <c r="E171" i="95"/>
  <c r="C230" i="95"/>
  <c r="E129" i="95"/>
  <c r="E221" i="95"/>
  <c r="E115" i="95"/>
  <c r="E156" i="95"/>
  <c r="C104" i="95"/>
  <c r="C88" i="95"/>
  <c r="C188" i="95"/>
  <c r="C98" i="95"/>
  <c r="C226" i="95"/>
  <c r="C147" i="95"/>
  <c r="C63" i="95"/>
  <c r="C151" i="95"/>
  <c r="C45" i="95"/>
  <c r="C159" i="95"/>
  <c r="C207" i="95"/>
  <c r="C47" i="95"/>
  <c r="C170" i="95"/>
  <c r="C196" i="95"/>
  <c r="C213" i="95"/>
  <c r="C52" i="95"/>
  <c r="E18" i="94"/>
  <c r="E123" i="94"/>
  <c r="E70" i="94"/>
  <c r="E21" i="94"/>
  <c r="E178" i="94"/>
  <c r="E78" i="94"/>
  <c r="E55" i="94"/>
  <c r="E29" i="94"/>
  <c r="E155" i="94"/>
  <c r="E105" i="94"/>
  <c r="E88" i="94"/>
  <c r="E10" i="94"/>
  <c r="E182" i="94"/>
  <c r="E150" i="94"/>
  <c r="E121" i="94"/>
  <c r="E91" i="94"/>
  <c r="E65" i="94"/>
  <c r="E42" i="94"/>
  <c r="E13" i="94"/>
  <c r="E135" i="94"/>
  <c r="E116" i="94"/>
  <c r="E60" i="94"/>
  <c r="E34" i="94"/>
  <c r="E180" i="94"/>
  <c r="E162" i="94"/>
  <c r="E148" i="94"/>
  <c r="E103" i="94"/>
  <c r="E83" i="94"/>
  <c r="E37" i="94"/>
  <c r="E5" i="94"/>
  <c r="E146" i="94"/>
  <c r="E130" i="94"/>
  <c r="E75" i="94"/>
  <c r="E26" i="94"/>
  <c r="C171" i="94"/>
  <c r="C125" i="94"/>
  <c r="C67" i="94"/>
  <c r="C60" i="94"/>
  <c r="C169" i="94"/>
  <c r="C93" i="94"/>
  <c r="C52" i="94"/>
  <c r="C26" i="94"/>
  <c r="C10" i="94"/>
  <c r="C80" i="94"/>
  <c r="C39" i="94"/>
  <c r="C146" i="94"/>
  <c r="C116" i="94"/>
  <c r="C62" i="94"/>
  <c r="C178" i="94"/>
  <c r="C158" i="94"/>
  <c r="C138" i="94"/>
  <c r="C100" i="94"/>
  <c r="C176" i="94"/>
  <c r="C72" i="94"/>
  <c r="C31" i="94"/>
  <c r="C15" i="94"/>
  <c r="C140" i="94"/>
  <c r="C23" i="94"/>
  <c r="C182" i="94"/>
  <c r="C153" i="94"/>
  <c r="C144" i="94"/>
  <c r="C135" i="94"/>
  <c r="C118" i="94"/>
  <c r="C107" i="94"/>
  <c r="C85" i="94"/>
  <c r="C75" i="94"/>
  <c r="C44" i="94"/>
  <c r="C34" i="94"/>
  <c r="C18" i="94"/>
  <c r="C180" i="94"/>
  <c r="C7" i="94"/>
  <c r="C173" i="94"/>
  <c r="C162" i="94"/>
  <c r="C142" i="94"/>
  <c r="C133" i="94"/>
  <c r="C127" i="94"/>
  <c r="C113" i="94"/>
  <c r="C98" i="94"/>
  <c r="C88" i="94"/>
  <c r="C57" i="94"/>
  <c r="C47" i="94"/>
  <c r="E95" i="93"/>
  <c r="E118" i="93"/>
  <c r="E108" i="93"/>
  <c r="E63" i="93"/>
  <c r="G118" i="93"/>
  <c r="C114" i="93"/>
  <c r="E104" i="93"/>
  <c r="G95" i="93"/>
  <c r="C89" i="93"/>
  <c r="G80" i="93"/>
  <c r="G63" i="93"/>
  <c r="C55" i="93"/>
  <c r="E49" i="93"/>
  <c r="C34" i="93"/>
  <c r="E80" i="93"/>
  <c r="G58" i="93"/>
  <c r="C44" i="93"/>
  <c r="G37" i="93"/>
  <c r="G24" i="93"/>
  <c r="E21" i="93"/>
  <c r="C18" i="93"/>
  <c r="E131" i="93"/>
  <c r="C125" i="93"/>
  <c r="E112" i="93"/>
  <c r="C108" i="93"/>
  <c r="E102" i="93"/>
  <c r="E58" i="93"/>
  <c r="G47" i="93"/>
  <c r="E37" i="93"/>
  <c r="E24" i="93"/>
  <c r="C21" i="93"/>
  <c r="C131" i="93"/>
  <c r="C112" i="93"/>
  <c r="C102" i="93"/>
  <c r="E93" i="93"/>
  <c r="C65" i="93"/>
  <c r="E47" i="93"/>
  <c r="G8" i="93"/>
  <c r="E5" i="93"/>
  <c r="C123" i="93"/>
  <c r="G116" i="93"/>
  <c r="E106" i="93"/>
  <c r="C100" i="93"/>
  <c r="C93" i="93"/>
  <c r="E71" i="93"/>
  <c r="C51" i="93"/>
  <c r="C39" i="93"/>
  <c r="E29" i="93"/>
  <c r="C26" i="93"/>
  <c r="E8" i="93"/>
  <c r="C5" i="93"/>
  <c r="G10" i="93"/>
  <c r="H142" i="93"/>
  <c r="C129" i="93"/>
  <c r="E116" i="93"/>
  <c r="E110" i="93"/>
  <c r="C106" i="93"/>
  <c r="E84" i="93"/>
  <c r="C71" i="93"/>
  <c r="G32" i="93"/>
  <c r="C29" i="93"/>
  <c r="E7" i="93"/>
  <c r="C121" i="93"/>
  <c r="C110" i="93"/>
  <c r="E91" i="93"/>
  <c r="G74" i="93"/>
  <c r="C60" i="93"/>
  <c r="C42" i="93"/>
  <c r="E32" i="93"/>
  <c r="G16" i="93"/>
  <c r="E13" i="93"/>
  <c r="C4" i="93"/>
  <c r="C127" i="93"/>
  <c r="E114" i="93"/>
  <c r="G104" i="93"/>
  <c r="C91" i="93"/>
  <c r="E74" i="93"/>
  <c r="G49" i="93"/>
  <c r="E16" i="93"/>
  <c r="C13" i="93"/>
  <c r="G11" i="87"/>
  <c r="G7" i="87"/>
  <c r="E10" i="87"/>
  <c r="E7" i="87"/>
  <c r="E6" i="87"/>
  <c r="E11" i="87"/>
  <c r="G7" i="85"/>
  <c r="G10" i="85"/>
  <c r="G9" i="85"/>
  <c r="H12" i="85"/>
  <c r="E6" i="82"/>
  <c r="C188" i="97"/>
  <c r="C26" i="97"/>
  <c r="C121" i="97"/>
  <c r="C244" i="97"/>
  <c r="C252" i="97"/>
  <c r="C237" i="97"/>
  <c r="G230" i="97"/>
  <c r="G204" i="97"/>
  <c r="E26" i="97"/>
  <c r="G100" i="97"/>
  <c r="G242" i="97"/>
  <c r="E103" i="97"/>
  <c r="G238" i="97"/>
  <c r="G130" i="97"/>
  <c r="E7" i="97"/>
  <c r="G80" i="97"/>
  <c r="G117" i="97"/>
  <c r="G134" i="97"/>
  <c r="G171" i="97"/>
  <c r="E141" i="97"/>
  <c r="G23" i="97"/>
  <c r="G57" i="97"/>
  <c r="E124" i="97"/>
  <c r="G35" i="97"/>
  <c r="G202" i="97"/>
  <c r="E214" i="97"/>
  <c r="C147" i="97"/>
  <c r="I259" i="97"/>
  <c r="C10" i="97"/>
  <c r="C251" i="97"/>
  <c r="C235" i="97"/>
  <c r="E249" i="97"/>
  <c r="C139" i="97"/>
  <c r="G179" i="97"/>
  <c r="G240" i="97"/>
  <c r="C68" i="97"/>
  <c r="E243" i="97"/>
  <c r="E47" i="97"/>
  <c r="C172" i="97"/>
  <c r="G209" i="97"/>
  <c r="G221" i="97"/>
  <c r="G94" i="97"/>
  <c r="E118" i="97"/>
  <c r="G8" i="97"/>
  <c r="G16" i="97"/>
  <c r="E144" i="97"/>
  <c r="G30" i="97"/>
  <c r="G104" i="97"/>
  <c r="E155" i="97"/>
  <c r="G123" i="97"/>
  <c r="G158" i="97"/>
  <c r="E19" i="97"/>
  <c r="G190" i="97"/>
  <c r="G116" i="97"/>
  <c r="E41" i="97"/>
  <c r="G77" i="97"/>
  <c r="G183" i="97"/>
  <c r="E133" i="97"/>
  <c r="G187" i="97"/>
  <c r="G12" i="97"/>
  <c r="E46" i="97"/>
  <c r="C103" i="97"/>
  <c r="C7" i="97"/>
  <c r="C132" i="97"/>
  <c r="C249" i="97"/>
  <c r="E179" i="97"/>
  <c r="E240" i="97"/>
  <c r="G148" i="97"/>
  <c r="C243" i="97"/>
  <c r="C47" i="97"/>
  <c r="G236" i="97"/>
  <c r="E209" i="97"/>
  <c r="E94" i="97"/>
  <c r="C118" i="97"/>
  <c r="C101" i="97"/>
  <c r="E16" i="97"/>
  <c r="C144" i="97"/>
  <c r="C212" i="97"/>
  <c r="E104" i="97"/>
  <c r="C155" i="97"/>
  <c r="C150" i="97"/>
  <c r="E158" i="97"/>
  <c r="C19" i="97"/>
  <c r="C64" i="97"/>
  <c r="E116" i="97"/>
  <c r="C41" i="97"/>
  <c r="C78" i="97"/>
  <c r="E183" i="97"/>
  <c r="C133" i="97"/>
  <c r="C69" i="97"/>
  <c r="E12" i="97"/>
  <c r="C46" i="97"/>
  <c r="C52" i="97"/>
  <c r="G6" i="97"/>
  <c r="G108" i="97"/>
  <c r="G248" i="97"/>
  <c r="E231" i="97"/>
  <c r="C179" i="97"/>
  <c r="C240" i="97"/>
  <c r="E148" i="97"/>
  <c r="E236" i="97"/>
  <c r="G120" i="97"/>
  <c r="E114" i="97"/>
  <c r="G96" i="97"/>
  <c r="G250" i="97"/>
  <c r="E60" i="97"/>
  <c r="G168" i="97"/>
  <c r="G138" i="97"/>
  <c r="E152" i="97"/>
  <c r="G43" i="97"/>
  <c r="G185" i="97"/>
  <c r="E178" i="97"/>
  <c r="G210" i="97"/>
  <c r="G97" i="97"/>
  <c r="E99" i="97"/>
  <c r="G113" i="97"/>
  <c r="G63" i="97"/>
  <c r="E53" i="97"/>
  <c r="G9" i="97"/>
  <c r="G44" i="97"/>
  <c r="E129" i="97"/>
  <c r="G254" i="97"/>
  <c r="C205" i="97"/>
  <c r="C174" i="97"/>
  <c r="C92" i="97"/>
  <c r="C37" i="97"/>
  <c r="C126" i="97"/>
  <c r="C215" i="97"/>
  <c r="C154" i="97"/>
  <c r="C216" i="97"/>
  <c r="C17" i="97"/>
  <c r="C173" i="97"/>
  <c r="C239" i="97"/>
  <c r="C86" i="97"/>
  <c r="C74" i="97"/>
  <c r="C131" i="97"/>
  <c r="C82" i="97"/>
  <c r="C95" i="97"/>
  <c r="C136" i="97"/>
  <c r="C218" i="97"/>
  <c r="C233" i="97"/>
  <c r="C151" i="97"/>
  <c r="C24" i="97"/>
  <c r="C247" i="97"/>
  <c r="C29" i="97"/>
  <c r="C176" i="97"/>
  <c r="C4" i="97"/>
  <c r="C206" i="97"/>
  <c r="C180" i="97"/>
  <c r="C189" i="97"/>
  <c r="C88" i="97"/>
  <c r="C49" i="97"/>
  <c r="C13" i="97"/>
  <c r="C22" i="97"/>
  <c r="C27" i="97"/>
  <c r="C32" i="97"/>
  <c r="C51" i="97"/>
  <c r="C112" i="97"/>
  <c r="C81" i="97"/>
  <c r="C72" i="97"/>
  <c r="C223" i="97"/>
  <c r="C115" i="97"/>
  <c r="C192" i="97"/>
  <c r="C225" i="97"/>
  <c r="C119" i="97"/>
  <c r="C256" i="97"/>
  <c r="C5" i="97"/>
  <c r="C125" i="97"/>
  <c r="C160" i="97"/>
  <c r="C169" i="97"/>
  <c r="C166" i="97"/>
  <c r="C184" i="97"/>
  <c r="C194" i="97"/>
  <c r="C234" i="97"/>
  <c r="C253" i="97"/>
  <c r="C211" i="97"/>
  <c r="C149" i="97"/>
  <c r="C255" i="97"/>
  <c r="C232" i="97"/>
  <c r="C58" i="97"/>
  <c r="C21" i="97"/>
  <c r="C227" i="97"/>
  <c r="C67" i="97"/>
  <c r="C143" i="97"/>
  <c r="C127" i="97"/>
  <c r="C79" i="97"/>
  <c r="C61" i="97"/>
  <c r="C198" i="97"/>
  <c r="C111" i="97"/>
  <c r="C193" i="97"/>
  <c r="C105" i="97"/>
  <c r="C142" i="97"/>
  <c r="C62" i="97"/>
  <c r="C14" i="97"/>
  <c r="C45" i="97"/>
  <c r="C162" i="97"/>
  <c r="C177" i="97"/>
  <c r="C159" i="97"/>
  <c r="C33" i="97"/>
  <c r="C98" i="97"/>
  <c r="C203" i="97"/>
  <c r="C170" i="97"/>
  <c r="C91" i="97"/>
  <c r="C110" i="97"/>
  <c r="C84" i="97"/>
  <c r="C219" i="97"/>
  <c r="C40" i="97"/>
  <c r="C175" i="97"/>
  <c r="C25" i="97"/>
  <c r="C31" i="97"/>
  <c r="C54" i="97"/>
  <c r="C186" i="97"/>
  <c r="C246" i="97"/>
  <c r="C56" i="97"/>
  <c r="C201" i="97"/>
  <c r="C195" i="97"/>
  <c r="C83" i="97"/>
  <c r="C85" i="97"/>
  <c r="C182" i="97"/>
  <c r="C208" i="97"/>
  <c r="C93" i="97"/>
  <c r="C220" i="97"/>
  <c r="C102" i="97"/>
  <c r="C135" i="97"/>
  <c r="C90" i="97"/>
  <c r="C137" i="97"/>
  <c r="C20" i="97"/>
  <c r="C89" i="97"/>
  <c r="C229" i="97"/>
  <c r="C163" i="97"/>
  <c r="C213" i="97"/>
  <c r="C34" i="97"/>
  <c r="C254" i="97"/>
  <c r="C71" i="97"/>
  <c r="C35" i="97"/>
  <c r="C187" i="97"/>
  <c r="C9" i="97"/>
  <c r="C76" i="97"/>
  <c r="C23" i="97"/>
  <c r="C77" i="97"/>
  <c r="C113" i="97"/>
  <c r="C73" i="97"/>
  <c r="C134" i="97"/>
  <c r="C190" i="97"/>
  <c r="C210" i="97"/>
  <c r="C55" i="97"/>
  <c r="C80" i="97"/>
  <c r="C123" i="97"/>
  <c r="C43" i="97"/>
  <c r="C122" i="97"/>
  <c r="C238" i="97"/>
  <c r="C30" i="97"/>
  <c r="C168" i="97"/>
  <c r="C181" i="97"/>
  <c r="C100" i="97"/>
  <c r="C8" i="97"/>
  <c r="C96" i="97"/>
  <c r="C257" i="97"/>
  <c r="C230" i="97"/>
  <c r="C221" i="97"/>
  <c r="C39" i="97"/>
  <c r="C11" i="97"/>
  <c r="C202" i="97"/>
  <c r="C12" i="97"/>
  <c r="C44" i="97"/>
  <c r="C156" i="97"/>
  <c r="C57" i="97"/>
  <c r="C183" i="97"/>
  <c r="C63" i="97"/>
  <c r="C75" i="97"/>
  <c r="C171" i="97"/>
  <c r="C116" i="97"/>
  <c r="C97" i="97"/>
  <c r="C146" i="97"/>
  <c r="C117" i="97"/>
  <c r="C158" i="97"/>
  <c r="C185" i="97"/>
  <c r="C165" i="97"/>
  <c r="C130" i="97"/>
  <c r="C104" i="97"/>
  <c r="C138" i="97"/>
  <c r="C70" i="97"/>
  <c r="C242" i="97"/>
  <c r="C16" i="97"/>
  <c r="C250" i="97"/>
  <c r="C48" i="97"/>
  <c r="C204" i="97"/>
  <c r="C94" i="97"/>
  <c r="C120" i="97"/>
  <c r="C191" i="97"/>
  <c r="C214" i="97"/>
  <c r="G87" i="97"/>
  <c r="G214" i="97"/>
  <c r="G46" i="97"/>
  <c r="G129" i="97"/>
  <c r="G59" i="97"/>
  <c r="G124" i="97"/>
  <c r="G133" i="97"/>
  <c r="G53" i="97"/>
  <c r="G157" i="97"/>
  <c r="G141" i="97"/>
  <c r="G41" i="97"/>
  <c r="G99" i="97"/>
  <c r="G222" i="97"/>
  <c r="G19" i="97"/>
  <c r="G178" i="97"/>
  <c r="G217" i="97"/>
  <c r="G155" i="97"/>
  <c r="G152" i="97"/>
  <c r="G28" i="97"/>
  <c r="G103" i="97"/>
  <c r="G144" i="97"/>
  <c r="G60" i="97"/>
  <c r="G36" i="97"/>
  <c r="G26" i="97"/>
  <c r="G118" i="97"/>
  <c r="G114" i="97"/>
  <c r="G15" i="97"/>
  <c r="G128" i="97"/>
  <c r="G52" i="97"/>
  <c r="G161" i="97"/>
  <c r="G42" i="97"/>
  <c r="G191" i="97"/>
  <c r="G69" i="97"/>
  <c r="G38" i="97"/>
  <c r="G50" i="97"/>
  <c r="G121" i="97"/>
  <c r="G78" i="97"/>
  <c r="G207" i="97"/>
  <c r="G66" i="97"/>
  <c r="G132" i="97"/>
  <c r="G64" i="97"/>
  <c r="G258" i="97"/>
  <c r="G226" i="97"/>
  <c r="G241" i="97"/>
  <c r="G150" i="97"/>
  <c r="G18" i="97"/>
  <c r="G164" i="97"/>
  <c r="G200" i="97"/>
  <c r="G212" i="97"/>
  <c r="G167" i="97"/>
  <c r="G196" i="97"/>
  <c r="G224" i="97"/>
  <c r="G101" i="97"/>
  <c r="G199" i="97"/>
  <c r="G205" i="97"/>
  <c r="G174" i="97"/>
  <c r="G92" i="97"/>
  <c r="G37" i="97"/>
  <c r="G126" i="97"/>
  <c r="G215" i="97"/>
  <c r="G154" i="97"/>
  <c r="G216" i="97"/>
  <c r="G17" i="97"/>
  <c r="G173" i="97"/>
  <c r="G239" i="97"/>
  <c r="G86" i="97"/>
  <c r="G74" i="97"/>
  <c r="G131" i="97"/>
  <c r="G82" i="97"/>
  <c r="G95" i="97"/>
  <c r="G136" i="97"/>
  <c r="G218" i="97"/>
  <c r="G233" i="97"/>
  <c r="G151" i="97"/>
  <c r="G24" i="97"/>
  <c r="G247" i="97"/>
  <c r="G29" i="97"/>
  <c r="G176" i="97"/>
  <c r="G206" i="97"/>
  <c r="G180" i="97"/>
  <c r="G189" i="97"/>
  <c r="G88" i="97"/>
  <c r="G49" i="97"/>
  <c r="G13" i="97"/>
  <c r="G22" i="97"/>
  <c r="G27" i="97"/>
  <c r="G32" i="97"/>
  <c r="G51" i="97"/>
  <c r="G112" i="97"/>
  <c r="G81" i="97"/>
  <c r="G72" i="97"/>
  <c r="G223" i="97"/>
  <c r="G115" i="97"/>
  <c r="G192" i="97"/>
  <c r="G225" i="97"/>
  <c r="G119" i="97"/>
  <c r="G256" i="97"/>
  <c r="G5" i="97"/>
  <c r="G125" i="97"/>
  <c r="G160" i="97"/>
  <c r="G169" i="97"/>
  <c r="G166" i="97"/>
  <c r="G184" i="97"/>
  <c r="G194" i="97"/>
  <c r="G234" i="97"/>
  <c r="G253" i="97"/>
  <c r="G211" i="97"/>
  <c r="G149" i="97"/>
  <c r="G255" i="97"/>
  <c r="G232" i="97"/>
  <c r="G58" i="97"/>
  <c r="G21" i="97"/>
  <c r="G227" i="97"/>
  <c r="G67" i="97"/>
  <c r="G143" i="97"/>
  <c r="G127" i="97"/>
  <c r="G79" i="97"/>
  <c r="G61" i="97"/>
  <c r="G198" i="97"/>
  <c r="G111" i="97"/>
  <c r="G193" i="97"/>
  <c r="G105" i="97"/>
  <c r="G142" i="97"/>
  <c r="G62" i="97"/>
  <c r="G14" i="97"/>
  <c r="G45" i="97"/>
  <c r="G162" i="97"/>
  <c r="G177" i="97"/>
  <c r="G159" i="97"/>
  <c r="G33" i="97"/>
  <c r="G98" i="97"/>
  <c r="G203" i="97"/>
  <c r="G170" i="97"/>
  <c r="G91" i="97"/>
  <c r="G110" i="97"/>
  <c r="G84" i="97"/>
  <c r="G219" i="97"/>
  <c r="G40" i="97"/>
  <c r="G175" i="97"/>
  <c r="G25" i="97"/>
  <c r="G31" i="97"/>
  <c r="G54" i="97"/>
  <c r="G186" i="97"/>
  <c r="G246" i="97"/>
  <c r="G56" i="97"/>
  <c r="G201" i="97"/>
  <c r="G195" i="97"/>
  <c r="G83" i="97"/>
  <c r="G85" i="97"/>
  <c r="G182" i="97"/>
  <c r="G208" i="97"/>
  <c r="G93" i="97"/>
  <c r="G220" i="97"/>
  <c r="G102" i="97"/>
  <c r="G135" i="97"/>
  <c r="G90" i="97"/>
  <c r="G137" i="97"/>
  <c r="G20" i="97"/>
  <c r="G89" i="97"/>
  <c r="G229" i="97"/>
  <c r="G163" i="97"/>
  <c r="G213" i="97"/>
  <c r="G34" i="97"/>
  <c r="E6" i="97"/>
  <c r="E108" i="97"/>
  <c r="E248" i="97"/>
  <c r="C231" i="97"/>
  <c r="G245" i="97"/>
  <c r="C148" i="97"/>
  <c r="G140" i="97"/>
  <c r="C236" i="97"/>
  <c r="G109" i="97"/>
  <c r="E120" i="97"/>
  <c r="C114" i="97"/>
  <c r="C199" i="97"/>
  <c r="E250" i="97"/>
  <c r="C60" i="97"/>
  <c r="C167" i="97"/>
  <c r="E138" i="97"/>
  <c r="C152" i="97"/>
  <c r="C18" i="97"/>
  <c r="E185" i="97"/>
  <c r="C178" i="97"/>
  <c r="C258" i="97"/>
  <c r="E97" i="97"/>
  <c r="C99" i="97"/>
  <c r="C207" i="97"/>
  <c r="E63" i="97"/>
  <c r="C53" i="97"/>
  <c r="C38" i="97"/>
  <c r="E44" i="97"/>
  <c r="C129" i="97"/>
  <c r="C161" i="97"/>
  <c r="E39" i="97"/>
  <c r="C241" i="97"/>
  <c r="C141" i="97"/>
  <c r="C128" i="97"/>
  <c r="C6" i="97"/>
  <c r="C108" i="97"/>
  <c r="C248" i="97"/>
  <c r="G244" i="97"/>
  <c r="E245" i="97"/>
  <c r="E140" i="97"/>
  <c r="G252" i="97"/>
  <c r="G237" i="97"/>
  <c r="E109" i="97"/>
  <c r="G257" i="97"/>
  <c r="G48" i="97"/>
  <c r="E36" i="97"/>
  <c r="G181" i="97"/>
  <c r="G70" i="97"/>
  <c r="E28" i="97"/>
  <c r="G122" i="97"/>
  <c r="G165" i="97"/>
  <c r="E217" i="97"/>
  <c r="G55" i="97"/>
  <c r="G146" i="97"/>
  <c r="E222" i="97"/>
  <c r="G73" i="97"/>
  <c r="G75" i="97"/>
  <c r="E157" i="97"/>
  <c r="G76" i="97"/>
  <c r="G156" i="97"/>
  <c r="E59" i="97"/>
  <c r="G71" i="97"/>
  <c r="G11" i="97"/>
  <c r="C106" i="97"/>
  <c r="C224" i="97"/>
  <c r="C200" i="97"/>
  <c r="C124" i="97"/>
  <c r="E15" i="97"/>
  <c r="E128" i="97"/>
  <c r="E52" i="97"/>
  <c r="E161" i="97"/>
  <c r="E42" i="97"/>
  <c r="E191" i="97"/>
  <c r="E69" i="97"/>
  <c r="E38" i="97"/>
  <c r="E50" i="97"/>
  <c r="E121" i="97"/>
  <c r="E78" i="97"/>
  <c r="E207" i="97"/>
  <c r="E66" i="97"/>
  <c r="E132" i="97"/>
  <c r="E64" i="97"/>
  <c r="E258" i="97"/>
  <c r="E226" i="97"/>
  <c r="E241" i="97"/>
  <c r="E150" i="97"/>
  <c r="E18" i="97"/>
  <c r="E164" i="97"/>
  <c r="E200" i="97"/>
  <c r="E212" i="97"/>
  <c r="E167" i="97"/>
  <c r="E196" i="97"/>
  <c r="E224" i="97"/>
  <c r="E101" i="97"/>
  <c r="E199" i="97"/>
  <c r="E205" i="97"/>
  <c r="E174" i="97"/>
  <c r="E92" i="97"/>
  <c r="E37" i="97"/>
  <c r="E126" i="97"/>
  <c r="E215" i="97"/>
  <c r="E154" i="97"/>
  <c r="E216" i="97"/>
  <c r="E17" i="97"/>
  <c r="E173" i="97"/>
  <c r="E239" i="97"/>
  <c r="E86" i="97"/>
  <c r="E74" i="97"/>
  <c r="E131" i="97"/>
  <c r="E82" i="97"/>
  <c r="E95" i="97"/>
  <c r="E136" i="97"/>
  <c r="E218" i="97"/>
  <c r="E233" i="97"/>
  <c r="E151" i="97"/>
  <c r="E24" i="97"/>
  <c r="E247" i="97"/>
  <c r="E29" i="97"/>
  <c r="E176" i="97"/>
  <c r="E4" i="97"/>
  <c r="E206" i="97"/>
  <c r="E180" i="97"/>
  <c r="E189" i="97"/>
  <c r="E88" i="97"/>
  <c r="E49" i="97"/>
  <c r="E13" i="97"/>
  <c r="E22" i="97"/>
  <c r="E27" i="97"/>
  <c r="E32" i="97"/>
  <c r="E51" i="97"/>
  <c r="E112" i="97"/>
  <c r="E81" i="97"/>
  <c r="E72" i="97"/>
  <c r="E223" i="97"/>
  <c r="E115" i="97"/>
  <c r="E192" i="97"/>
  <c r="E225" i="97"/>
  <c r="E119" i="97"/>
  <c r="E256" i="97"/>
  <c r="E5" i="97"/>
  <c r="E125" i="97"/>
  <c r="E160" i="97"/>
  <c r="E169" i="97"/>
  <c r="E166" i="97"/>
  <c r="E184" i="97"/>
  <c r="E194" i="97"/>
  <c r="E234" i="97"/>
  <c r="E253" i="97"/>
  <c r="E211" i="97"/>
  <c r="E149" i="97"/>
  <c r="E255" i="97"/>
  <c r="E232" i="97"/>
  <c r="E58" i="97"/>
  <c r="E21" i="97"/>
  <c r="E227" i="97"/>
  <c r="E67" i="97"/>
  <c r="E143" i="97"/>
  <c r="E127" i="97"/>
  <c r="E79" i="97"/>
  <c r="E61" i="97"/>
  <c r="E198" i="97"/>
  <c r="E111" i="97"/>
  <c r="E193" i="97"/>
  <c r="E105" i="97"/>
  <c r="E142" i="97"/>
  <c r="E62" i="97"/>
  <c r="E14" i="97"/>
  <c r="E45" i="97"/>
  <c r="E162" i="97"/>
  <c r="E177" i="97"/>
  <c r="E159" i="97"/>
  <c r="E33" i="97"/>
  <c r="E98" i="97"/>
  <c r="E203" i="97"/>
  <c r="E170" i="97"/>
  <c r="E91" i="97"/>
  <c r="E110" i="97"/>
  <c r="E84" i="97"/>
  <c r="E219" i="97"/>
  <c r="E40" i="97"/>
  <c r="E175" i="97"/>
  <c r="E25" i="97"/>
  <c r="E31" i="97"/>
  <c r="E54" i="97"/>
  <c r="E186" i="97"/>
  <c r="E246" i="97"/>
  <c r="E56" i="97"/>
  <c r="E201" i="97"/>
  <c r="E195" i="97"/>
  <c r="E83" i="97"/>
  <c r="E85" i="97"/>
  <c r="E182" i="97"/>
  <c r="E208" i="97"/>
  <c r="E93" i="97"/>
  <c r="E220" i="97"/>
  <c r="E102" i="97"/>
  <c r="E135" i="97"/>
  <c r="E90" i="97"/>
  <c r="E137" i="97"/>
  <c r="E20" i="97"/>
  <c r="E89" i="97"/>
  <c r="E229" i="97"/>
  <c r="E163" i="97"/>
  <c r="E213" i="97"/>
  <c r="E34" i="97"/>
  <c r="E254" i="97"/>
  <c r="E71" i="97"/>
  <c r="E35" i="97"/>
  <c r="E187" i="97"/>
  <c r="E9" i="97"/>
  <c r="E76" i="97"/>
  <c r="E23" i="97"/>
  <c r="E77" i="97"/>
  <c r="E113" i="97"/>
  <c r="E73" i="97"/>
  <c r="E134" i="97"/>
  <c r="E190" i="97"/>
  <c r="E210" i="97"/>
  <c r="E55" i="97"/>
  <c r="E80" i="97"/>
  <c r="E123" i="97"/>
  <c r="E43" i="97"/>
  <c r="E122" i="97"/>
  <c r="E238" i="97"/>
  <c r="E30" i="97"/>
  <c r="E168" i="97"/>
  <c r="E181" i="97"/>
  <c r="E100" i="97"/>
  <c r="E8" i="97"/>
  <c r="E96" i="97"/>
  <c r="E257" i="97"/>
  <c r="E230" i="97"/>
  <c r="E221" i="97"/>
  <c r="E244" i="97"/>
  <c r="C245" i="97"/>
  <c r="G106" i="97"/>
  <c r="G188" i="97"/>
  <c r="C140" i="97"/>
  <c r="E252" i="97"/>
  <c r="E237" i="97"/>
  <c r="C109" i="97"/>
  <c r="G147" i="97"/>
  <c r="E48" i="97"/>
  <c r="C36" i="97"/>
  <c r="C196" i="97"/>
  <c r="E70" i="97"/>
  <c r="C28" i="97"/>
  <c r="C164" i="97"/>
  <c r="E165" i="97"/>
  <c r="C217" i="97"/>
  <c r="C226" i="97"/>
  <c r="E146" i="97"/>
  <c r="C222" i="97"/>
  <c r="C66" i="97"/>
  <c r="E75" i="97"/>
  <c r="C157" i="97"/>
  <c r="C50" i="97"/>
  <c r="E156" i="97"/>
  <c r="C59" i="97"/>
  <c r="C42" i="97"/>
  <c r="E11" i="97"/>
  <c r="C87" i="97"/>
  <c r="C15" i="97"/>
  <c r="C131" i="96"/>
  <c r="C49" i="96"/>
  <c r="G15" i="96"/>
  <c r="G23" i="96"/>
  <c r="G41" i="96"/>
  <c r="G49" i="96"/>
  <c r="G57" i="96"/>
  <c r="G65" i="96"/>
  <c r="G73" i="96"/>
  <c r="G7" i="96"/>
  <c r="G12" i="96"/>
  <c r="G20" i="96"/>
  <c r="G28" i="96"/>
  <c r="G33" i="96"/>
  <c r="G38" i="96"/>
  <c r="G46" i="96"/>
  <c r="G54" i="96"/>
  <c r="G62" i="96"/>
  <c r="G70" i="96"/>
  <c r="G78" i="96"/>
  <c r="G86" i="96"/>
  <c r="G99" i="96"/>
  <c r="G101" i="96"/>
  <c r="G109" i="96"/>
  <c r="G114" i="96"/>
  <c r="G121" i="96"/>
  <c r="G129" i="96"/>
  <c r="G53" i="96"/>
  <c r="G4" i="96"/>
  <c r="G9" i="96"/>
  <c r="G17" i="96"/>
  <c r="G25" i="96"/>
  <c r="G35" i="96"/>
  <c r="G43" i="96"/>
  <c r="G51" i="96"/>
  <c r="G59" i="96"/>
  <c r="G67" i="96"/>
  <c r="G75" i="96"/>
  <c r="G83" i="96"/>
  <c r="G91" i="96"/>
  <c r="G96" i="96"/>
  <c r="G106" i="96"/>
  <c r="G116" i="96"/>
  <c r="G126" i="96"/>
  <c r="G131" i="96"/>
  <c r="G14" i="96"/>
  <c r="G22" i="96"/>
  <c r="G30" i="96"/>
  <c r="G40" i="96"/>
  <c r="G48" i="96"/>
  <c r="G56" i="96"/>
  <c r="G64" i="96"/>
  <c r="G72" i="96"/>
  <c r="G80" i="96"/>
  <c r="G88" i="96"/>
  <c r="G103" i="96"/>
  <c r="G111" i="96"/>
  <c r="G123" i="96"/>
  <c r="G85" i="96"/>
  <c r="G93" i="96"/>
  <c r="G6" i="96"/>
  <c r="G11" i="96"/>
  <c r="G19" i="96"/>
  <c r="G27" i="96"/>
  <c r="G32" i="96"/>
  <c r="G37" i="96"/>
  <c r="G45" i="96"/>
  <c r="G61" i="96"/>
  <c r="G69" i="96"/>
  <c r="G77" i="96"/>
  <c r="G16" i="96"/>
  <c r="G24" i="96"/>
  <c r="G34" i="96"/>
  <c r="G42" i="96"/>
  <c r="G50" i="96"/>
  <c r="G58" i="96"/>
  <c r="G66" i="96"/>
  <c r="G74" i="96"/>
  <c r="G82" i="96"/>
  <c r="G90" i="96"/>
  <c r="G95" i="96"/>
  <c r="G105" i="96"/>
  <c r="G125" i="96"/>
  <c r="G5" i="96"/>
  <c r="G10" i="96"/>
  <c r="G18" i="96"/>
  <c r="G26" i="96"/>
  <c r="G31" i="96"/>
  <c r="G36" i="96"/>
  <c r="G44" i="96"/>
  <c r="G52" i="96"/>
  <c r="G60" i="96"/>
  <c r="G68" i="96"/>
  <c r="G76" i="96"/>
  <c r="G84" i="96"/>
  <c r="G92" i="96"/>
  <c r="G97" i="96"/>
  <c r="G107" i="96"/>
  <c r="G117" i="96"/>
  <c r="G119" i="96"/>
  <c r="G127" i="96"/>
  <c r="G132" i="96"/>
  <c r="G81" i="96"/>
  <c r="G89" i="96"/>
  <c r="C124" i="96"/>
  <c r="G118" i="96"/>
  <c r="G115" i="96"/>
  <c r="C110" i="96"/>
  <c r="G102" i="96"/>
  <c r="C94" i="96"/>
  <c r="G87" i="96"/>
  <c r="C15" i="96"/>
  <c r="E7" i="96"/>
  <c r="E12" i="96"/>
  <c r="E20" i="96"/>
  <c r="E28" i="96"/>
  <c r="E33" i="96"/>
  <c r="E38" i="96"/>
  <c r="E54" i="96"/>
  <c r="E62" i="96"/>
  <c r="E70" i="96"/>
  <c r="E78" i="96"/>
  <c r="E86" i="96"/>
  <c r="E4" i="96"/>
  <c r="E9" i="96"/>
  <c r="E17" i="96"/>
  <c r="E25" i="96"/>
  <c r="E35" i="96"/>
  <c r="E43" i="96"/>
  <c r="E51" i="96"/>
  <c r="E59" i="96"/>
  <c r="E67" i="96"/>
  <c r="E75" i="96"/>
  <c r="E83" i="96"/>
  <c r="E91" i="96"/>
  <c r="E96" i="96"/>
  <c r="E106" i="96"/>
  <c r="E116" i="96"/>
  <c r="E126" i="96"/>
  <c r="E131" i="96"/>
  <c r="E14" i="96"/>
  <c r="E22" i="96"/>
  <c r="E30" i="96"/>
  <c r="E40" i="96"/>
  <c r="E48" i="96"/>
  <c r="E56" i="96"/>
  <c r="E64" i="96"/>
  <c r="E72" i="96"/>
  <c r="E80" i="96"/>
  <c r="E88" i="96"/>
  <c r="E103" i="96"/>
  <c r="E111" i="96"/>
  <c r="E123" i="96"/>
  <c r="E6" i="96"/>
  <c r="E11" i="96"/>
  <c r="E19" i="96"/>
  <c r="E27" i="96"/>
  <c r="E32" i="96"/>
  <c r="E37" i="96"/>
  <c r="E45" i="96"/>
  <c r="E53" i="96"/>
  <c r="E61" i="96"/>
  <c r="E69" i="96"/>
  <c r="E77" i="96"/>
  <c r="E85" i="96"/>
  <c r="E93" i="96"/>
  <c r="E98" i="96"/>
  <c r="E108" i="96"/>
  <c r="E113" i="96"/>
  <c r="E118" i="96"/>
  <c r="E120" i="96"/>
  <c r="E128" i="96"/>
  <c r="E95" i="96"/>
  <c r="E16" i="96"/>
  <c r="E24" i="96"/>
  <c r="E34" i="96"/>
  <c r="E42" i="96"/>
  <c r="E50" i="96"/>
  <c r="E58" i="96"/>
  <c r="E66" i="96"/>
  <c r="E74" i="96"/>
  <c r="E82" i="96"/>
  <c r="E90" i="96"/>
  <c r="E8" i="96"/>
  <c r="E13" i="96"/>
  <c r="E21" i="96"/>
  <c r="E29" i="96"/>
  <c r="E39" i="96"/>
  <c r="E47" i="96"/>
  <c r="E55" i="96"/>
  <c r="E63" i="96"/>
  <c r="E71" i="96"/>
  <c r="E79" i="96"/>
  <c r="E87" i="96"/>
  <c r="E100" i="96"/>
  <c r="E102" i="96"/>
  <c r="E110" i="96"/>
  <c r="E115" i="96"/>
  <c r="E122" i="96"/>
  <c r="E130" i="96"/>
  <c r="E5" i="96"/>
  <c r="E15" i="96"/>
  <c r="E23" i="96"/>
  <c r="E41" i="96"/>
  <c r="E49" i="96"/>
  <c r="E57" i="96"/>
  <c r="E65" i="96"/>
  <c r="E73" i="96"/>
  <c r="E81" i="96"/>
  <c r="E89" i="96"/>
  <c r="E94" i="96"/>
  <c r="E104" i="96"/>
  <c r="E112" i="96"/>
  <c r="E124" i="96"/>
  <c r="E46" i="96"/>
  <c r="C126" i="96"/>
  <c r="E121" i="96"/>
  <c r="C115" i="96"/>
  <c r="G112" i="96"/>
  <c r="E107" i="96"/>
  <c r="C102" i="96"/>
  <c r="E99" i="96"/>
  <c r="C73" i="96"/>
  <c r="G63" i="96"/>
  <c r="E36" i="96"/>
  <c r="E18" i="96"/>
  <c r="G128" i="96"/>
  <c r="G79" i="96"/>
  <c r="G130" i="96"/>
  <c r="E125" i="96"/>
  <c r="G120" i="96"/>
  <c r="E114" i="96"/>
  <c r="C106" i="96"/>
  <c r="E101" i="96"/>
  <c r="G98" i="96"/>
  <c r="E92" i="96"/>
  <c r="G55" i="96"/>
  <c r="E10" i="96"/>
  <c r="C4" i="96"/>
  <c r="C9" i="96"/>
  <c r="C17" i="96"/>
  <c r="C25" i="96"/>
  <c r="C35" i="96"/>
  <c r="C43" i="96"/>
  <c r="C51" i="96"/>
  <c r="C59" i="96"/>
  <c r="C67" i="96"/>
  <c r="C75" i="96"/>
  <c r="C83" i="96"/>
  <c r="C14" i="96"/>
  <c r="C22" i="96"/>
  <c r="C30" i="96"/>
  <c r="C40" i="96"/>
  <c r="C48" i="96"/>
  <c r="C56" i="96"/>
  <c r="C64" i="96"/>
  <c r="C72" i="96"/>
  <c r="C80" i="96"/>
  <c r="C88" i="96"/>
  <c r="C103" i="96"/>
  <c r="C111" i="96"/>
  <c r="C123" i="96"/>
  <c r="C6" i="96"/>
  <c r="C11" i="96"/>
  <c r="C19" i="96"/>
  <c r="C27" i="96"/>
  <c r="C32" i="96"/>
  <c r="C37" i="96"/>
  <c r="C45" i="96"/>
  <c r="C53" i="96"/>
  <c r="C61" i="96"/>
  <c r="C69" i="96"/>
  <c r="C77" i="96"/>
  <c r="C85" i="96"/>
  <c r="C93" i="96"/>
  <c r="C98" i="96"/>
  <c r="C108" i="96"/>
  <c r="C113" i="96"/>
  <c r="C118" i="96"/>
  <c r="C120" i="96"/>
  <c r="C128" i="96"/>
  <c r="C16" i="96"/>
  <c r="C24" i="96"/>
  <c r="C34" i="96"/>
  <c r="C42" i="96"/>
  <c r="C50" i="96"/>
  <c r="C58" i="96"/>
  <c r="C66" i="96"/>
  <c r="C74" i="96"/>
  <c r="C82" i="96"/>
  <c r="C90" i="96"/>
  <c r="C95" i="96"/>
  <c r="C105" i="96"/>
  <c r="C125" i="96"/>
  <c r="C8" i="96"/>
  <c r="C13" i="96"/>
  <c r="C21" i="96"/>
  <c r="C29" i="96"/>
  <c r="C39" i="96"/>
  <c r="C47" i="96"/>
  <c r="C55" i="96"/>
  <c r="C63" i="96"/>
  <c r="C71" i="96"/>
  <c r="C79" i="96"/>
  <c r="C87" i="96"/>
  <c r="C5" i="96"/>
  <c r="C10" i="96"/>
  <c r="C18" i="96"/>
  <c r="C26" i="96"/>
  <c r="C31" i="96"/>
  <c r="C36" i="96"/>
  <c r="C44" i="96"/>
  <c r="C52" i="96"/>
  <c r="C60" i="96"/>
  <c r="C68" i="96"/>
  <c r="C76" i="96"/>
  <c r="C84" i="96"/>
  <c r="C92" i="96"/>
  <c r="C97" i="96"/>
  <c r="C107" i="96"/>
  <c r="C117" i="96"/>
  <c r="C119" i="96"/>
  <c r="C127" i="96"/>
  <c r="C132" i="96"/>
  <c r="C7" i="96"/>
  <c r="C12" i="96"/>
  <c r="C20" i="96"/>
  <c r="C28" i="96"/>
  <c r="C33" i="96"/>
  <c r="C38" i="96"/>
  <c r="C46" i="96"/>
  <c r="C54" i="96"/>
  <c r="C62" i="96"/>
  <c r="C70" i="96"/>
  <c r="C78" i="96"/>
  <c r="C86" i="96"/>
  <c r="C99" i="96"/>
  <c r="C101" i="96"/>
  <c r="C109" i="96"/>
  <c r="C114" i="96"/>
  <c r="C121" i="96"/>
  <c r="C129" i="96"/>
  <c r="C91" i="96"/>
  <c r="C112" i="96"/>
  <c r="C96" i="96"/>
  <c r="C104" i="96"/>
  <c r="C89" i="96"/>
  <c r="C130" i="96"/>
  <c r="G122" i="96"/>
  <c r="G100" i="96"/>
  <c r="E68" i="96"/>
  <c r="C41" i="96"/>
  <c r="C23" i="96"/>
  <c r="G13" i="96"/>
  <c r="E127" i="96"/>
  <c r="C122" i="96"/>
  <c r="C116" i="96"/>
  <c r="G108" i="96"/>
  <c r="C100" i="96"/>
  <c r="C81" i="96"/>
  <c r="G71" i="96"/>
  <c r="E44" i="96"/>
  <c r="E26" i="96"/>
  <c r="G124" i="96"/>
  <c r="G113" i="96"/>
  <c r="G110" i="96"/>
  <c r="G94" i="96"/>
  <c r="C57" i="96"/>
  <c r="G47" i="96"/>
  <c r="G29" i="96"/>
  <c r="G8" i="96"/>
  <c r="E88" i="95"/>
  <c r="E147" i="95"/>
  <c r="E98" i="95"/>
  <c r="E212" i="95"/>
  <c r="E226" i="95"/>
  <c r="E105" i="95"/>
  <c r="C31" i="95"/>
  <c r="E70" i="95"/>
  <c r="E95" i="95"/>
  <c r="E161" i="95"/>
  <c r="E111" i="95"/>
  <c r="E154" i="95"/>
  <c r="E18" i="95"/>
  <c r="C206" i="95"/>
  <c r="C90" i="95"/>
  <c r="C221" i="95"/>
  <c r="E66" i="95"/>
  <c r="E166" i="95"/>
  <c r="E167" i="95"/>
  <c r="C53" i="95"/>
  <c r="E69" i="95"/>
  <c r="C42" i="95"/>
  <c r="C61" i="95"/>
  <c r="C161" i="95"/>
  <c r="C144" i="95"/>
  <c r="C111" i="95"/>
  <c r="E227" i="95"/>
  <c r="C154" i="95"/>
  <c r="C18" i="95"/>
  <c r="E201" i="95"/>
  <c r="E38" i="95"/>
  <c r="E77" i="95"/>
  <c r="E114" i="95"/>
  <c r="E138" i="95"/>
  <c r="E109" i="95"/>
  <c r="C217" i="95"/>
  <c r="E107" i="95"/>
  <c r="C202" i="95"/>
  <c r="C86" i="95"/>
  <c r="C145" i="95"/>
  <c r="E63" i="95"/>
  <c r="E188" i="95"/>
  <c r="E184" i="95"/>
  <c r="C201" i="95"/>
  <c r="E186" i="95"/>
  <c r="E203" i="95"/>
  <c r="C176" i="95"/>
  <c r="E25" i="95"/>
  <c r="E145" i="95"/>
  <c r="E219" i="95"/>
  <c r="E142" i="95"/>
  <c r="E222" i="95"/>
  <c r="E117" i="95"/>
  <c r="E199" i="95"/>
  <c r="E179" i="95"/>
  <c r="E133" i="95"/>
  <c r="E124" i="95"/>
  <c r="E197" i="95"/>
  <c r="E162" i="95"/>
  <c r="E12" i="95"/>
  <c r="E118" i="95"/>
  <c r="E108" i="95"/>
  <c r="E181" i="95"/>
  <c r="E15" i="95"/>
  <c r="E103" i="95"/>
  <c r="E85" i="95"/>
  <c r="E43" i="95"/>
  <c r="E48" i="95"/>
  <c r="E139" i="95"/>
  <c r="E169" i="95"/>
  <c r="E99" i="95"/>
  <c r="E60" i="95"/>
  <c r="E14" i="95"/>
  <c r="E16" i="95"/>
  <c r="E191" i="95"/>
  <c r="E183" i="95"/>
  <c r="E155" i="95"/>
  <c r="E152" i="95"/>
  <c r="E165" i="95"/>
  <c r="E55" i="95"/>
  <c r="E91" i="95"/>
  <c r="E195" i="95"/>
  <c r="E9" i="95"/>
  <c r="E187" i="95"/>
  <c r="E172" i="95"/>
  <c r="E35" i="95"/>
  <c r="E72" i="95"/>
  <c r="E34" i="95"/>
  <c r="E127" i="95"/>
  <c r="E229" i="95"/>
  <c r="E136" i="95"/>
  <c r="E164" i="95"/>
  <c r="E71" i="95"/>
  <c r="E41" i="95"/>
  <c r="E119" i="95"/>
  <c r="E59" i="95"/>
  <c r="E143" i="95"/>
  <c r="E220" i="95"/>
  <c r="E33" i="95"/>
  <c r="E198" i="95"/>
  <c r="E79" i="95"/>
  <c r="E65" i="95"/>
  <c r="E76" i="95"/>
  <c r="E134" i="95"/>
  <c r="E74" i="95"/>
  <c r="E81" i="95"/>
  <c r="E168" i="95"/>
  <c r="E56" i="95"/>
  <c r="E40" i="95"/>
  <c r="E39" i="95"/>
  <c r="E26" i="95"/>
  <c r="E178" i="95"/>
  <c r="E36" i="95"/>
  <c r="E92" i="95"/>
  <c r="E7" i="95"/>
  <c r="E153" i="95"/>
  <c r="E19" i="95"/>
  <c r="E96" i="95"/>
  <c r="E131" i="95"/>
  <c r="E122" i="95"/>
  <c r="E82" i="95"/>
  <c r="E61" i="95"/>
  <c r="E218" i="95"/>
  <c r="E193" i="95"/>
  <c r="E94" i="95"/>
  <c r="E52" i="95"/>
  <c r="E78" i="95"/>
  <c r="E148" i="95"/>
  <c r="E47" i="95"/>
  <c r="E175" i="95"/>
  <c r="E194" i="95"/>
  <c r="E28" i="95"/>
  <c r="E233" i="95"/>
  <c r="E23" i="95"/>
  <c r="E173" i="95"/>
  <c r="E29" i="95"/>
  <c r="E73" i="95"/>
  <c r="E57" i="95"/>
  <c r="E204" i="95"/>
  <c r="E217" i="95"/>
  <c r="E53" i="95"/>
  <c r="E13" i="95"/>
  <c r="E64" i="95"/>
  <c r="E101" i="95"/>
  <c r="E45" i="95"/>
  <c r="E146" i="95"/>
  <c r="E223" i="95"/>
  <c r="E75" i="95"/>
  <c r="E125" i="95"/>
  <c r="E106" i="95"/>
  <c r="E31" i="95"/>
  <c r="E176" i="95"/>
  <c r="E214" i="95"/>
  <c r="E90" i="95"/>
  <c r="E32" i="95"/>
  <c r="E213" i="95"/>
  <c r="E144" i="95"/>
  <c r="E200" i="95"/>
  <c r="E27" i="95"/>
  <c r="E80" i="95"/>
  <c r="E211" i="95"/>
  <c r="E157" i="95"/>
  <c r="E231" i="95"/>
  <c r="E190" i="95"/>
  <c r="E135" i="95"/>
  <c r="E180" i="95"/>
  <c r="E83" i="95"/>
  <c r="E86" i="95"/>
  <c r="E230" i="95"/>
  <c r="E216" i="95"/>
  <c r="E97" i="95"/>
  <c r="E24" i="95"/>
  <c r="E209" i="95"/>
  <c r="E54" i="95"/>
  <c r="E225" i="95"/>
  <c r="E17" i="95"/>
  <c r="E232" i="95"/>
  <c r="E208" i="95"/>
  <c r="E123" i="95"/>
  <c r="E102" i="95"/>
  <c r="E5" i="95"/>
  <c r="E11" i="95"/>
  <c r="E20" i="95"/>
  <c r="E121" i="95"/>
  <c r="E126" i="95"/>
  <c r="E21" i="95"/>
  <c r="E62" i="95"/>
  <c r="E149" i="95"/>
  <c r="E158" i="95"/>
  <c r="E185" i="95"/>
  <c r="E151" i="95"/>
  <c r="E50" i="95"/>
  <c r="E42" i="95"/>
  <c r="E196" i="95"/>
  <c r="E182" i="95"/>
  <c r="E215" i="95"/>
  <c r="E87" i="95"/>
  <c r="E202" i="95"/>
  <c r="E170" i="95"/>
  <c r="E128" i="95"/>
  <c r="E68" i="95"/>
  <c r="E110" i="95"/>
  <c r="E140" i="95"/>
  <c r="E30" i="95"/>
  <c r="C214" i="95"/>
  <c r="C123" i="95"/>
  <c r="C106" i="95"/>
  <c r="C73" i="95"/>
  <c r="C215" i="95"/>
  <c r="C128" i="95"/>
  <c r="E163" i="95"/>
  <c r="C68" i="95"/>
  <c r="C110" i="95"/>
  <c r="C140" i="95"/>
  <c r="C50" i="95"/>
  <c r="C30" i="95"/>
  <c r="E113" i="95"/>
  <c r="E44" i="95"/>
  <c r="C13" i="95"/>
  <c r="E100" i="95"/>
  <c r="C208" i="95"/>
  <c r="E58" i="95"/>
  <c r="E130" i="95"/>
  <c r="E93" i="95"/>
  <c r="C162" i="95"/>
  <c r="C12" i="95"/>
  <c r="C118" i="95"/>
  <c r="C108" i="95"/>
  <c r="C181" i="95"/>
  <c r="C15" i="95"/>
  <c r="C103" i="95"/>
  <c r="C85" i="95"/>
  <c r="C43" i="95"/>
  <c r="C48" i="95"/>
  <c r="C139" i="95"/>
  <c r="C169" i="95"/>
  <c r="C99" i="95"/>
  <c r="C60" i="95"/>
  <c r="C94" i="95"/>
  <c r="C14" i="95"/>
  <c r="C16" i="95"/>
  <c r="C191" i="95"/>
  <c r="C183" i="95"/>
  <c r="C155" i="95"/>
  <c r="C152" i="95"/>
  <c r="C165" i="95"/>
  <c r="C55" i="95"/>
  <c r="C91" i="95"/>
  <c r="C195" i="95"/>
  <c r="C9" i="95"/>
  <c r="C172" i="95"/>
  <c r="C35" i="95"/>
  <c r="C72" i="95"/>
  <c r="C34" i="95"/>
  <c r="C127" i="95"/>
  <c r="C229" i="95"/>
  <c r="C136" i="95"/>
  <c r="C164" i="95"/>
  <c r="C71" i="95"/>
  <c r="C41" i="95"/>
  <c r="C119" i="95"/>
  <c r="C59" i="95"/>
  <c r="C143" i="95"/>
  <c r="C220" i="95"/>
  <c r="C33" i="95"/>
  <c r="C198" i="95"/>
  <c r="C79" i="95"/>
  <c r="C65" i="95"/>
  <c r="C76" i="95"/>
  <c r="C134" i="95"/>
  <c r="C74" i="95"/>
  <c r="C81" i="95"/>
  <c r="C168" i="95"/>
  <c r="C56" i="95"/>
  <c r="C40" i="95"/>
  <c r="C39" i="95"/>
  <c r="C26" i="95"/>
  <c r="C178" i="95"/>
  <c r="C36" i="95"/>
  <c r="C92" i="95"/>
  <c r="C97" i="95"/>
  <c r="C5" i="95"/>
  <c r="C11" i="95"/>
  <c r="C20" i="95"/>
  <c r="C84" i="95"/>
  <c r="C23" i="95"/>
  <c r="C193" i="95"/>
  <c r="C209" i="95"/>
  <c r="C7" i="95"/>
  <c r="C153" i="95"/>
  <c r="C19" i="95"/>
  <c r="C96" i="95"/>
  <c r="C131" i="95"/>
  <c r="C122" i="95"/>
  <c r="C82" i="95"/>
  <c r="C175" i="95"/>
  <c r="C200" i="95"/>
  <c r="C93" i="95"/>
  <c r="C75" i="95"/>
  <c r="C102" i="95"/>
  <c r="C194" i="95"/>
  <c r="C27" i="95"/>
  <c r="C142" i="95"/>
  <c r="C182" i="95"/>
  <c r="C54" i="95"/>
  <c r="C21" i="95"/>
  <c r="C95" i="95"/>
  <c r="C180" i="95"/>
  <c r="C87" i="95"/>
  <c r="C174" i="95"/>
  <c r="C232" i="95"/>
  <c r="C105" i="95"/>
  <c r="C167" i="95"/>
  <c r="C115" i="95"/>
  <c r="C132" i="95"/>
  <c r="C228" i="95"/>
  <c r="C203" i="95"/>
  <c r="C124" i="95"/>
  <c r="C197" i="95"/>
  <c r="C187" i="95"/>
  <c r="C29" i="95"/>
  <c r="C125" i="95"/>
  <c r="C80" i="95"/>
  <c r="C211" i="95"/>
  <c r="C157" i="95"/>
  <c r="C69" i="95"/>
  <c r="C138" i="95"/>
  <c r="C66" i="95"/>
  <c r="C205" i="95"/>
  <c r="C186" i="95"/>
  <c r="C156" i="95"/>
  <c r="C227" i="95"/>
  <c r="C22" i="95"/>
  <c r="C219" i="95"/>
  <c r="C222" i="95"/>
  <c r="C231" i="95"/>
  <c r="C190" i="95"/>
  <c r="C233" i="95"/>
  <c r="C135" i="95"/>
  <c r="C83" i="95"/>
  <c r="C25" i="95"/>
  <c r="C117" i="95"/>
  <c r="C28" i="95"/>
  <c r="C218" i="95"/>
  <c r="C24" i="95"/>
  <c r="C225" i="95"/>
  <c r="C17" i="95"/>
  <c r="C199" i="95"/>
  <c r="C121" i="95"/>
  <c r="C126" i="95"/>
  <c r="C78" i="95"/>
  <c r="C57" i="95"/>
  <c r="C62" i="95"/>
  <c r="C149" i="95"/>
  <c r="C158" i="95"/>
  <c r="C64" i="95"/>
  <c r="C185" i="95"/>
  <c r="C179" i="95"/>
  <c r="C129" i="95"/>
  <c r="C210" i="95"/>
  <c r="C107" i="95"/>
  <c r="C58" i="95"/>
  <c r="C166" i="95"/>
  <c r="C114" i="95"/>
  <c r="C44" i="95"/>
  <c r="C38" i="95"/>
  <c r="C146" i="95"/>
  <c r="C133" i="95"/>
  <c r="C173" i="95"/>
  <c r="C223" i="95"/>
  <c r="C70" i="95"/>
  <c r="C130" i="95"/>
  <c r="C204" i="95"/>
  <c r="C224" i="95"/>
  <c r="C109" i="95"/>
  <c r="C171" i="95"/>
  <c r="C8" i="95"/>
  <c r="C10" i="95"/>
  <c r="C100" i="95"/>
  <c r="C77" i="95"/>
  <c r="E159" i="95"/>
  <c r="E22" i="95"/>
  <c r="C163" i="95"/>
  <c r="E6" i="95"/>
  <c r="C32" i="95"/>
  <c r="E207" i="95"/>
  <c r="C113" i="95"/>
  <c r="C101" i="95"/>
  <c r="E104" i="95"/>
  <c r="E10" i="95"/>
  <c r="E8" i="95"/>
  <c r="E224" i="95"/>
  <c r="C148" i="95"/>
  <c r="E175" i="94"/>
  <c r="E168" i="94"/>
  <c r="E164" i="94"/>
  <c r="C155" i="94"/>
  <c r="E152" i="94"/>
  <c r="C150" i="94"/>
  <c r="C148" i="94"/>
  <c r="E137" i="94"/>
  <c r="E132" i="94"/>
  <c r="C130" i="94"/>
  <c r="E128" i="94"/>
  <c r="E126" i="94"/>
  <c r="C123" i="94"/>
  <c r="C121" i="94"/>
  <c r="E114" i="94"/>
  <c r="E112" i="94"/>
  <c r="E110" i="94"/>
  <c r="E108" i="94"/>
  <c r="C105" i="94"/>
  <c r="C103" i="94"/>
  <c r="C96" i="94"/>
  <c r="E94" i="94"/>
  <c r="C91" i="94"/>
  <c r="E86" i="94"/>
  <c r="C83" i="94"/>
  <c r="E81" i="94"/>
  <c r="C78" i="94"/>
  <c r="E73" i="94"/>
  <c r="C70" i="94"/>
  <c r="E68" i="94"/>
  <c r="C65" i="94"/>
  <c r="E63" i="94"/>
  <c r="E58" i="94"/>
  <c r="C55" i="94"/>
  <c r="C50" i="94"/>
  <c r="E45" i="94"/>
  <c r="C42" i="94"/>
  <c r="C37" i="94"/>
  <c r="E32" i="94"/>
  <c r="C29" i="94"/>
  <c r="E24" i="94"/>
  <c r="C21" i="94"/>
  <c r="E16" i="94"/>
  <c r="C13" i="94"/>
  <c r="E8" i="94"/>
  <c r="C5" i="94"/>
  <c r="E179" i="94"/>
  <c r="C175" i="94"/>
  <c r="E170" i="94"/>
  <c r="C168" i="94"/>
  <c r="E166" i="94"/>
  <c r="C164" i="94"/>
  <c r="E161" i="94"/>
  <c r="E159" i="94"/>
  <c r="E157" i="94"/>
  <c r="C152" i="94"/>
  <c r="E141" i="94"/>
  <c r="E139" i="94"/>
  <c r="C137" i="94"/>
  <c r="C132" i="94"/>
  <c r="C128" i="94"/>
  <c r="C126" i="94"/>
  <c r="E119" i="94"/>
  <c r="C114" i="94"/>
  <c r="C112" i="94"/>
  <c r="C110" i="94"/>
  <c r="C108" i="94"/>
  <c r="E101" i="94"/>
  <c r="E99" i="94"/>
  <c r="C94" i="94"/>
  <c r="E89" i="94"/>
  <c r="C86" i="94"/>
  <c r="C81" i="94"/>
  <c r="E76" i="94"/>
  <c r="C73" i="94"/>
  <c r="C68" i="94"/>
  <c r="C63" i="94"/>
  <c r="E61" i="94"/>
  <c r="C58" i="94"/>
  <c r="E53" i="94"/>
  <c r="E48" i="94"/>
  <c r="C45" i="94"/>
  <c r="E40" i="94"/>
  <c r="E35" i="94"/>
  <c r="C32" i="94"/>
  <c r="E27" i="94"/>
  <c r="C24" i="94"/>
  <c r="E19" i="94"/>
  <c r="C16" i="94"/>
  <c r="E11" i="94"/>
  <c r="C8" i="94"/>
  <c r="E181" i="94"/>
  <c r="C179" i="94"/>
  <c r="E177" i="94"/>
  <c r="E172" i="94"/>
  <c r="C170" i="94"/>
  <c r="C166" i="94"/>
  <c r="C161" i="94"/>
  <c r="C159" i="94"/>
  <c r="C157" i="94"/>
  <c r="E154" i="94"/>
  <c r="E145" i="94"/>
  <c r="E143" i="94"/>
  <c r="C141" i="94"/>
  <c r="C139" i="94"/>
  <c r="E134" i="94"/>
  <c r="E124" i="94"/>
  <c r="C119" i="94"/>
  <c r="E117" i="94"/>
  <c r="E106" i="94"/>
  <c r="C101" i="94"/>
  <c r="C99" i="94"/>
  <c r="E97" i="94"/>
  <c r="E92" i="94"/>
  <c r="C89" i="94"/>
  <c r="E84" i="94"/>
  <c r="E79" i="94"/>
  <c r="C76" i="94"/>
  <c r="E71" i="94"/>
  <c r="E66" i="94"/>
  <c r="C61" i="94"/>
  <c r="E56" i="94"/>
  <c r="C53" i="94"/>
  <c r="E51" i="94"/>
  <c r="C48" i="94"/>
  <c r="E43" i="94"/>
  <c r="C40" i="94"/>
  <c r="E38" i="94"/>
  <c r="C35" i="94"/>
  <c r="E30" i="94"/>
  <c r="C27" i="94"/>
  <c r="E22" i="94"/>
  <c r="C19" i="94"/>
  <c r="E14" i="94"/>
  <c r="C11" i="94"/>
  <c r="E6" i="94"/>
  <c r="C181" i="94"/>
  <c r="C177" i="94"/>
  <c r="E174" i="94"/>
  <c r="C172" i="94"/>
  <c r="E163" i="94"/>
  <c r="C154" i="94"/>
  <c r="E151" i="94"/>
  <c r="E149" i="94"/>
  <c r="E147" i="94"/>
  <c r="C145" i="94"/>
  <c r="C143" i="94"/>
  <c r="E136" i="94"/>
  <c r="C134" i="94"/>
  <c r="E131" i="94"/>
  <c r="E129" i="94"/>
  <c r="C124" i="94"/>
  <c r="C117" i="94"/>
  <c r="E115" i="94"/>
  <c r="E109" i="94"/>
  <c r="C106" i="94"/>
  <c r="C97" i="94"/>
  <c r="C92" i="94"/>
  <c r="E87" i="94"/>
  <c r="C84" i="94"/>
  <c r="E82" i="94"/>
  <c r="C79" i="94"/>
  <c r="E74" i="94"/>
  <c r="C71" i="94"/>
  <c r="C66" i="94"/>
  <c r="E64" i="94"/>
  <c r="E59" i="94"/>
  <c r="C56" i="94"/>
  <c r="C51" i="94"/>
  <c r="E46" i="94"/>
  <c r="C43" i="94"/>
  <c r="C38" i="94"/>
  <c r="E33" i="94"/>
  <c r="C30" i="94"/>
  <c r="E25" i="94"/>
  <c r="C22" i="94"/>
  <c r="E17" i="94"/>
  <c r="C14" i="94"/>
  <c r="E9" i="94"/>
  <c r="C6" i="94"/>
  <c r="C174" i="94"/>
  <c r="E167" i="94"/>
  <c r="E165" i="94"/>
  <c r="C163" i="94"/>
  <c r="E160" i="94"/>
  <c r="E156" i="94"/>
  <c r="C151" i="94"/>
  <c r="C149" i="94"/>
  <c r="C147" i="94"/>
  <c r="C136" i="94"/>
  <c r="C131" i="94"/>
  <c r="C129" i="94"/>
  <c r="E122" i="94"/>
  <c r="E120" i="94"/>
  <c r="C115" i="94"/>
  <c r="E111" i="94"/>
  <c r="C109" i="94"/>
  <c r="E104" i="94"/>
  <c r="E102" i="94"/>
  <c r="E95" i="94"/>
  <c r="E90" i="94"/>
  <c r="C87" i="94"/>
  <c r="C82" i="94"/>
  <c r="E77" i="94"/>
  <c r="C74" i="94"/>
  <c r="E69" i="94"/>
  <c r="C64" i="94"/>
  <c r="C59" i="94"/>
  <c r="E54" i="94"/>
  <c r="E49" i="94"/>
  <c r="C46" i="94"/>
  <c r="E41" i="94"/>
  <c r="E36" i="94"/>
  <c r="C33" i="94"/>
  <c r="E28" i="94"/>
  <c r="C25" i="94"/>
  <c r="E20" i="94"/>
  <c r="C17" i="94"/>
  <c r="E12" i="94"/>
  <c r="C9" i="94"/>
  <c r="E4" i="94"/>
  <c r="E176" i="94"/>
  <c r="E171" i="94"/>
  <c r="E169" i="94"/>
  <c r="C167" i="94"/>
  <c r="C165" i="94"/>
  <c r="C160" i="94"/>
  <c r="C156" i="94"/>
  <c r="E153" i="94"/>
  <c r="E142" i="94"/>
  <c r="E140" i="94"/>
  <c r="E138" i="94"/>
  <c r="E133" i="94"/>
  <c r="E127" i="94"/>
  <c r="E125" i="94"/>
  <c r="C122" i="94"/>
  <c r="C120" i="94"/>
  <c r="E118" i="94"/>
  <c r="E113" i="94"/>
  <c r="C111" i="94"/>
  <c r="E107" i="94"/>
  <c r="C104" i="94"/>
  <c r="C102" i="94"/>
  <c r="E100" i="94"/>
  <c r="E98" i="94"/>
  <c r="C95" i="94"/>
  <c r="E93" i="94"/>
  <c r="C90" i="94"/>
  <c r="E85" i="94"/>
  <c r="E80" i="94"/>
  <c r="C77" i="94"/>
  <c r="E72" i="94"/>
  <c r="C69" i="94"/>
  <c r="E67" i="94"/>
  <c r="E62" i="94"/>
  <c r="E57" i="94"/>
  <c r="C54" i="94"/>
  <c r="E52" i="94"/>
  <c r="C49" i="94"/>
  <c r="E44" i="94"/>
  <c r="C41" i="94"/>
  <c r="E39" i="94"/>
  <c r="C36" i="94"/>
  <c r="E31" i="94"/>
  <c r="C28" i="94"/>
  <c r="E23" i="94"/>
  <c r="C20" i="94"/>
  <c r="E15" i="94"/>
  <c r="C12" i="94"/>
  <c r="G52" i="93"/>
  <c r="G35" i="93"/>
  <c r="G131" i="93"/>
  <c r="E129" i="93"/>
  <c r="E127" i="93"/>
  <c r="E125" i="93"/>
  <c r="E123" i="93"/>
  <c r="E121" i="93"/>
  <c r="G114" i="93"/>
  <c r="G112" i="93"/>
  <c r="G110" i="93"/>
  <c r="G108" i="93"/>
  <c r="G106" i="93"/>
  <c r="G102" i="93"/>
  <c r="E100" i="93"/>
  <c r="C98" i="93"/>
  <c r="G93" i="93"/>
  <c r="G91" i="93"/>
  <c r="E89" i="93"/>
  <c r="C77" i="93"/>
  <c r="C75" i="93"/>
  <c r="C73" i="93"/>
  <c r="G71" i="93"/>
  <c r="C69" i="93"/>
  <c r="C67" i="93"/>
  <c r="E65" i="93"/>
  <c r="C62" i="93"/>
  <c r="E60" i="93"/>
  <c r="C57" i="93"/>
  <c r="E55" i="93"/>
  <c r="C53" i="93"/>
  <c r="E51" i="93"/>
  <c r="C46" i="93"/>
  <c r="E44" i="93"/>
  <c r="G42" i="93"/>
  <c r="E39" i="93"/>
  <c r="C36" i="93"/>
  <c r="E34" i="93"/>
  <c r="C31" i="93"/>
  <c r="G29" i="93"/>
  <c r="E26" i="93"/>
  <c r="C23" i="93"/>
  <c r="G21" i="93"/>
  <c r="E18" i="93"/>
  <c r="C15" i="93"/>
  <c r="G13" i="93"/>
  <c r="E10" i="93"/>
  <c r="C7" i="93"/>
  <c r="G5" i="93"/>
  <c r="G97" i="93"/>
  <c r="G56" i="93"/>
  <c r="G27" i="93"/>
  <c r="G128" i="93"/>
  <c r="G126" i="93"/>
  <c r="G124" i="93"/>
  <c r="G122" i="93"/>
  <c r="E120" i="93"/>
  <c r="C118" i="93"/>
  <c r="C116" i="93"/>
  <c r="C104" i="93"/>
  <c r="G101" i="93"/>
  <c r="G99" i="93"/>
  <c r="E97" i="93"/>
  <c r="C95" i="93"/>
  <c r="G90" i="93"/>
  <c r="E88" i="93"/>
  <c r="E86" i="93"/>
  <c r="C84" i="93"/>
  <c r="E82" i="93"/>
  <c r="C80" i="93"/>
  <c r="E78" i="93"/>
  <c r="G76" i="93"/>
  <c r="C74" i="93"/>
  <c r="G72" i="93"/>
  <c r="G70" i="93"/>
  <c r="G68" i="93"/>
  <c r="G66" i="93"/>
  <c r="C63" i="93"/>
  <c r="E61" i="93"/>
  <c r="C58" i="93"/>
  <c r="E56" i="93"/>
  <c r="G54" i="93"/>
  <c r="E52" i="93"/>
  <c r="C49" i="93"/>
  <c r="C47" i="93"/>
  <c r="E45" i="93"/>
  <c r="G43" i="93"/>
  <c r="E40" i="93"/>
  <c r="C37" i="93"/>
  <c r="E35" i="93"/>
  <c r="C32" i="93"/>
  <c r="G30" i="93"/>
  <c r="E27" i="93"/>
  <c r="C24" i="93"/>
  <c r="G22" i="93"/>
  <c r="E19" i="93"/>
  <c r="C16" i="93"/>
  <c r="G14" i="93"/>
  <c r="E11" i="93"/>
  <c r="C8" i="93"/>
  <c r="G6" i="93"/>
  <c r="G88" i="93"/>
  <c r="G40" i="93"/>
  <c r="G130" i="93"/>
  <c r="E128" i="93"/>
  <c r="E126" i="93"/>
  <c r="E124" i="93"/>
  <c r="E122" i="93"/>
  <c r="C120" i="93"/>
  <c r="G113" i="93"/>
  <c r="G111" i="93"/>
  <c r="G109" i="93"/>
  <c r="G107" i="93"/>
  <c r="G105" i="93"/>
  <c r="E101" i="93"/>
  <c r="E99" i="93"/>
  <c r="C97" i="93"/>
  <c r="G94" i="93"/>
  <c r="G92" i="93"/>
  <c r="E90" i="93"/>
  <c r="C88" i="93"/>
  <c r="C86" i="93"/>
  <c r="C82" i="93"/>
  <c r="C78" i="93"/>
  <c r="E76" i="93"/>
  <c r="E72" i="93"/>
  <c r="E70" i="93"/>
  <c r="E68" i="93"/>
  <c r="E66" i="93"/>
  <c r="G64" i="93"/>
  <c r="C61" i="93"/>
  <c r="G59" i="93"/>
  <c r="C56" i="93"/>
  <c r="E54" i="93"/>
  <c r="C52" i="93"/>
  <c r="G50" i="93"/>
  <c r="C45" i="93"/>
  <c r="E43" i="93"/>
  <c r="C40" i="93"/>
  <c r="G38" i="93"/>
  <c r="C35" i="93"/>
  <c r="G33" i="93"/>
  <c r="E30" i="93"/>
  <c r="C27" i="93"/>
  <c r="G25" i="93"/>
  <c r="E22" i="93"/>
  <c r="C19" i="93"/>
  <c r="G17" i="93"/>
  <c r="E14" i="93"/>
  <c r="C11" i="93"/>
  <c r="G9" i="93"/>
  <c r="E6" i="93"/>
  <c r="G120" i="93"/>
  <c r="G78" i="93"/>
  <c r="G19" i="93"/>
  <c r="E130" i="93"/>
  <c r="C128" i="93"/>
  <c r="C126" i="93"/>
  <c r="C124" i="93"/>
  <c r="C122" i="93"/>
  <c r="G119" i="93"/>
  <c r="G117" i="93"/>
  <c r="G115" i="93"/>
  <c r="E113" i="93"/>
  <c r="E111" i="93"/>
  <c r="E109" i="93"/>
  <c r="E107" i="93"/>
  <c r="E105" i="93"/>
  <c r="G103" i="93"/>
  <c r="C101" i="93"/>
  <c r="C99" i="93"/>
  <c r="G96" i="93"/>
  <c r="E94" i="93"/>
  <c r="E92" i="93"/>
  <c r="C90" i="93"/>
  <c r="G87" i="93"/>
  <c r="G85" i="93"/>
  <c r="G83" i="93"/>
  <c r="G81" i="93"/>
  <c r="G79" i="93"/>
  <c r="C76" i="93"/>
  <c r="C72" i="93"/>
  <c r="C70" i="93"/>
  <c r="C68" i="93"/>
  <c r="C66" i="93"/>
  <c r="E64" i="93"/>
  <c r="E59" i="93"/>
  <c r="C54" i="93"/>
  <c r="E50" i="93"/>
  <c r="G48" i="93"/>
  <c r="C43" i="93"/>
  <c r="G41" i="93"/>
  <c r="E38" i="93"/>
  <c r="E33" i="93"/>
  <c r="C30" i="93"/>
  <c r="G28" i="93"/>
  <c r="E25" i="93"/>
  <c r="C22" i="93"/>
  <c r="G20" i="93"/>
  <c r="E17" i="93"/>
  <c r="C14" i="93"/>
  <c r="G12" i="93"/>
  <c r="E9" i="93"/>
  <c r="C6" i="93"/>
  <c r="G4" i="93"/>
  <c r="G82" i="93"/>
  <c r="G61" i="93"/>
  <c r="G45" i="93"/>
  <c r="G11" i="93"/>
  <c r="C130" i="93"/>
  <c r="E119" i="93"/>
  <c r="E117" i="93"/>
  <c r="E115" i="93"/>
  <c r="C113" i="93"/>
  <c r="C111" i="93"/>
  <c r="C109" i="93"/>
  <c r="C107" i="93"/>
  <c r="C105" i="93"/>
  <c r="E103" i="93"/>
  <c r="G98" i="93"/>
  <c r="E96" i="93"/>
  <c r="C94" i="93"/>
  <c r="C92" i="93"/>
  <c r="E87" i="93"/>
  <c r="E85" i="93"/>
  <c r="E83" i="93"/>
  <c r="E81" i="93"/>
  <c r="E79" i="93"/>
  <c r="G77" i="93"/>
  <c r="G75" i="93"/>
  <c r="G73" i="93"/>
  <c r="G69" i="93"/>
  <c r="G67" i="93"/>
  <c r="C64" i="93"/>
  <c r="G62" i="93"/>
  <c r="C59" i="93"/>
  <c r="G57" i="93"/>
  <c r="G53" i="93"/>
  <c r="C50" i="93"/>
  <c r="E48" i="93"/>
  <c r="G46" i="93"/>
  <c r="E41" i="93"/>
  <c r="C38" i="93"/>
  <c r="G36" i="93"/>
  <c r="C33" i="93"/>
  <c r="G31" i="93"/>
  <c r="E28" i="93"/>
  <c r="C25" i="93"/>
  <c r="G23" i="93"/>
  <c r="E20" i="93"/>
  <c r="C17" i="93"/>
  <c r="G15" i="93"/>
  <c r="E12" i="93"/>
  <c r="C9" i="93"/>
  <c r="G7" i="93"/>
  <c r="E4" i="93"/>
  <c r="G86" i="93"/>
  <c r="I142" i="93"/>
  <c r="G129" i="93"/>
  <c r="G127" i="93"/>
  <c r="G125" i="93"/>
  <c r="G123" i="93"/>
  <c r="G121" i="93"/>
  <c r="C119" i="93"/>
  <c r="C117" i="93"/>
  <c r="C115" i="93"/>
  <c r="C103" i="93"/>
  <c r="G100" i="93"/>
  <c r="E98" i="93"/>
  <c r="C96" i="93"/>
  <c r="G89" i="93"/>
  <c r="C87" i="93"/>
  <c r="C85" i="93"/>
  <c r="C83" i="93"/>
  <c r="C81" i="93"/>
  <c r="C79" i="93"/>
  <c r="E77" i="93"/>
  <c r="E75" i="93"/>
  <c r="E73" i="93"/>
  <c r="E69" i="93"/>
  <c r="E67" i="93"/>
  <c r="G65" i="93"/>
  <c r="E62" i="93"/>
  <c r="G60" i="93"/>
  <c r="E57" i="93"/>
  <c r="G55" i="93"/>
  <c r="E53" i="93"/>
  <c r="G51" i="93"/>
  <c r="C48" i="93"/>
  <c r="E46" i="93"/>
  <c r="G44" i="93"/>
  <c r="C41" i="93"/>
  <c r="G39" i="93"/>
  <c r="E36" i="93"/>
  <c r="G34" i="93"/>
  <c r="E31" i="93"/>
  <c r="C28" i="93"/>
  <c r="G26" i="93"/>
  <c r="E23" i="93"/>
  <c r="C20" i="93"/>
  <c r="G18" i="93"/>
  <c r="E15" i="93"/>
  <c r="C12" i="93"/>
  <c r="H14" i="87"/>
  <c r="C11" i="87"/>
  <c r="C9" i="87"/>
  <c r="C7" i="87"/>
  <c r="C5" i="87"/>
  <c r="G13" i="87"/>
  <c r="G10" i="87"/>
  <c r="G8" i="87"/>
  <c r="G6" i="87"/>
  <c r="C13" i="87"/>
  <c r="C10" i="87"/>
  <c r="C8" i="87"/>
  <c r="C6" i="87"/>
  <c r="E9" i="85"/>
  <c r="E7" i="85"/>
  <c r="E5" i="85"/>
  <c r="C9" i="85"/>
  <c r="C7" i="85"/>
  <c r="C5" i="85"/>
  <c r="E10" i="85"/>
  <c r="E8" i="85"/>
  <c r="E6" i="85"/>
  <c r="E4" i="85"/>
  <c r="C10" i="85"/>
  <c r="C8" i="85"/>
  <c r="C6" i="85"/>
  <c r="C183" i="94" l="1"/>
  <c r="E183" i="94"/>
  <c r="G183" i="94"/>
  <c r="C160" i="96"/>
  <c r="G160" i="96"/>
  <c r="E160" i="96"/>
  <c r="J110" i="95"/>
  <c r="I177" i="95"/>
  <c r="I4" i="95"/>
  <c r="J49" i="95"/>
  <c r="I49" i="95"/>
  <c r="J112" i="95"/>
  <c r="J160" i="95"/>
  <c r="I112" i="95"/>
  <c r="I160" i="95"/>
  <c r="J192" i="95"/>
  <c r="J150" i="95"/>
  <c r="I192" i="95"/>
  <c r="I150" i="95"/>
  <c r="J67" i="95"/>
  <c r="J89" i="95"/>
  <c r="I141" i="95"/>
  <c r="J177" i="95"/>
  <c r="I67" i="95"/>
  <c r="I89" i="95"/>
  <c r="J137" i="95"/>
  <c r="J120" i="95"/>
  <c r="I137" i="95"/>
  <c r="I120" i="95"/>
  <c r="J51" i="95"/>
  <c r="J37" i="95"/>
  <c r="J46" i="95"/>
  <c r="I51" i="95"/>
  <c r="I37" i="95"/>
  <c r="I46" i="95"/>
  <c r="J189" i="95"/>
  <c r="J141" i="95"/>
  <c r="I189" i="95"/>
  <c r="J4" i="95"/>
  <c r="I32" i="95"/>
  <c r="I205" i="95"/>
  <c r="J121" i="95"/>
  <c r="J216" i="95"/>
  <c r="J163" i="95"/>
  <c r="G12" i="85"/>
  <c r="E12" i="85"/>
  <c r="I47" i="95"/>
  <c r="J205" i="95"/>
  <c r="J173" i="95"/>
  <c r="J19" i="95"/>
  <c r="J62" i="95"/>
  <c r="I41" i="95"/>
  <c r="J106" i="95"/>
  <c r="J179" i="95"/>
  <c r="J23" i="95"/>
  <c r="I98" i="95"/>
  <c r="J109" i="95"/>
  <c r="I149" i="95"/>
  <c r="J182" i="95"/>
  <c r="I39" i="95"/>
  <c r="J219" i="95"/>
  <c r="J178" i="95"/>
  <c r="I125" i="95"/>
  <c r="J5" i="95"/>
  <c r="I180" i="95"/>
  <c r="J218" i="95"/>
  <c r="I63" i="95"/>
  <c r="I76" i="95"/>
  <c r="I182" i="95"/>
  <c r="I229" i="95"/>
  <c r="J42" i="95"/>
  <c r="I161" i="95"/>
  <c r="I156" i="95"/>
  <c r="J115" i="95"/>
  <c r="I198" i="95"/>
  <c r="J88" i="95"/>
  <c r="I223" i="95"/>
  <c r="I135" i="95"/>
  <c r="I74" i="95"/>
  <c r="I35" i="95"/>
  <c r="J28" i="95"/>
  <c r="J105" i="95"/>
  <c r="J65" i="95"/>
  <c r="J116" i="95"/>
  <c r="I116" i="95"/>
  <c r="I104" i="95"/>
  <c r="I136" i="95"/>
  <c r="I126" i="95"/>
  <c r="I55" i="95"/>
  <c r="J102" i="95"/>
  <c r="J40" i="95"/>
  <c r="I230" i="95"/>
  <c r="J18" i="95"/>
  <c r="J165" i="95"/>
  <c r="I183" i="95"/>
  <c r="J175" i="95"/>
  <c r="I54" i="95"/>
  <c r="E14" i="87"/>
  <c r="J230" i="95"/>
  <c r="I115" i="95"/>
  <c r="I45" i="95"/>
  <c r="J154" i="95"/>
  <c r="I158" i="95"/>
  <c r="J54" i="95"/>
  <c r="I5" i="95"/>
  <c r="I226" i="95"/>
  <c r="I216" i="95"/>
  <c r="J180" i="95"/>
  <c r="I132" i="95"/>
  <c r="J81" i="95"/>
  <c r="J130" i="95"/>
  <c r="I184" i="95"/>
  <c r="I215" i="95"/>
  <c r="I210" i="95"/>
  <c r="I114" i="95"/>
  <c r="J17" i="95"/>
  <c r="J211" i="95"/>
  <c r="J29" i="95"/>
  <c r="J79" i="95"/>
  <c r="J34" i="95"/>
  <c r="J152" i="95"/>
  <c r="J16" i="95"/>
  <c r="J99" i="95"/>
  <c r="J43" i="95"/>
  <c r="J181" i="95"/>
  <c r="J162" i="95"/>
  <c r="I169" i="95"/>
  <c r="I85" i="95"/>
  <c r="I108" i="95"/>
  <c r="I197" i="95"/>
  <c r="I199" i="95"/>
  <c r="I145" i="95"/>
  <c r="I233" i="95"/>
  <c r="I61" i="95"/>
  <c r="I75" i="95"/>
  <c r="I95" i="95"/>
  <c r="I190" i="95"/>
  <c r="I122" i="95"/>
  <c r="I153" i="95"/>
  <c r="I31" i="95"/>
  <c r="J226" i="95"/>
  <c r="I232" i="95"/>
  <c r="I101" i="95"/>
  <c r="J207" i="95"/>
  <c r="L234" i="95"/>
  <c r="J6" i="95"/>
  <c r="J204" i="95"/>
  <c r="J90" i="95"/>
  <c r="J63" i="95"/>
  <c r="J232" i="95"/>
  <c r="J78" i="95"/>
  <c r="I92" i="95"/>
  <c r="J132" i="95"/>
  <c r="J47" i="95"/>
  <c r="I59" i="95"/>
  <c r="I66" i="95"/>
  <c r="I148" i="95"/>
  <c r="J71" i="95"/>
  <c r="I56" i="95"/>
  <c r="I29" i="95"/>
  <c r="I178" i="95"/>
  <c r="I207" i="95"/>
  <c r="J53" i="95"/>
  <c r="J210" i="95"/>
  <c r="I52" i="95"/>
  <c r="J166" i="95"/>
  <c r="J70" i="95"/>
  <c r="J135" i="95"/>
  <c r="I26" i="95"/>
  <c r="J59" i="95"/>
  <c r="J136" i="95"/>
  <c r="J72" i="95"/>
  <c r="J155" i="95"/>
  <c r="J14" i="95"/>
  <c r="J169" i="95"/>
  <c r="J85" i="95"/>
  <c r="J108" i="95"/>
  <c r="I94" i="95"/>
  <c r="I139" i="95"/>
  <c r="I103" i="95"/>
  <c r="I118" i="95"/>
  <c r="I124" i="95"/>
  <c r="I117" i="95"/>
  <c r="I25" i="95"/>
  <c r="I27" i="95"/>
  <c r="I93" i="95"/>
  <c r="I129" i="95"/>
  <c r="I231" i="95"/>
  <c r="I131" i="95"/>
  <c r="I7" i="95"/>
  <c r="I105" i="95"/>
  <c r="J221" i="95"/>
  <c r="I209" i="95"/>
  <c r="J8" i="95"/>
  <c r="J186" i="95"/>
  <c r="J149" i="95"/>
  <c r="I68" i="95"/>
  <c r="I38" i="95"/>
  <c r="I185" i="95"/>
  <c r="I62" i="95"/>
  <c r="J66" i="95"/>
  <c r="J86" i="95"/>
  <c r="J125" i="95"/>
  <c r="I36" i="95"/>
  <c r="I168" i="95"/>
  <c r="J196" i="95"/>
  <c r="J38" i="95"/>
  <c r="J52" i="95"/>
  <c r="J134" i="95"/>
  <c r="I84" i="95"/>
  <c r="I8" i="95"/>
  <c r="I86" i="95"/>
  <c r="J187" i="95"/>
  <c r="J143" i="95"/>
  <c r="J195" i="95"/>
  <c r="I33" i="95"/>
  <c r="I127" i="95"/>
  <c r="I172" i="95"/>
  <c r="I165" i="95"/>
  <c r="I191" i="95"/>
  <c r="J197" i="95"/>
  <c r="J199" i="95"/>
  <c r="J145" i="95"/>
  <c r="J233" i="95"/>
  <c r="J61" i="95"/>
  <c r="J75" i="95"/>
  <c r="J95" i="95"/>
  <c r="J190" i="95"/>
  <c r="J122" i="95"/>
  <c r="J153" i="95"/>
  <c r="J84" i="95"/>
  <c r="J97" i="95"/>
  <c r="J171" i="95"/>
  <c r="J213" i="95"/>
  <c r="I88" i="95"/>
  <c r="I10" i="95"/>
  <c r="I227" i="95"/>
  <c r="J159" i="95"/>
  <c r="J30" i="95"/>
  <c r="J68" i="95"/>
  <c r="I18" i="95"/>
  <c r="I151" i="95"/>
  <c r="J126" i="95"/>
  <c r="J107" i="95"/>
  <c r="J206" i="95"/>
  <c r="J111" i="95"/>
  <c r="J64" i="95"/>
  <c r="J57" i="95"/>
  <c r="I121" i="95"/>
  <c r="I206" i="95"/>
  <c r="I167" i="95"/>
  <c r="J148" i="95"/>
  <c r="J41" i="95"/>
  <c r="I138" i="95"/>
  <c r="J157" i="95"/>
  <c r="I40" i="95"/>
  <c r="I81" i="95"/>
  <c r="J9" i="95"/>
  <c r="J188" i="95"/>
  <c r="I30" i="95"/>
  <c r="I204" i="95"/>
  <c r="I196" i="95"/>
  <c r="J198" i="95"/>
  <c r="J76" i="95"/>
  <c r="J223" i="95"/>
  <c r="J168" i="95"/>
  <c r="J73" i="95"/>
  <c r="J229" i="95"/>
  <c r="J35" i="95"/>
  <c r="J183" i="95"/>
  <c r="J94" i="95"/>
  <c r="J139" i="95"/>
  <c r="J103" i="95"/>
  <c r="J118" i="95"/>
  <c r="I60" i="95"/>
  <c r="I48" i="95"/>
  <c r="I15" i="95"/>
  <c r="I12" i="95"/>
  <c r="I133" i="95"/>
  <c r="I222" i="95"/>
  <c r="I142" i="95"/>
  <c r="I24" i="95"/>
  <c r="I146" i="95"/>
  <c r="I194" i="95"/>
  <c r="I200" i="95"/>
  <c r="I80" i="95"/>
  <c r="I96" i="95"/>
  <c r="I6" i="95"/>
  <c r="J158" i="95"/>
  <c r="J13" i="95"/>
  <c r="I225" i="95"/>
  <c r="J227" i="95"/>
  <c r="I171" i="95"/>
  <c r="I228" i="95"/>
  <c r="J209" i="95"/>
  <c r="I203" i="95"/>
  <c r="J138" i="95"/>
  <c r="J55" i="95"/>
  <c r="J31" i="95"/>
  <c r="J224" i="95"/>
  <c r="J45" i="95"/>
  <c r="I202" i="95"/>
  <c r="I173" i="95"/>
  <c r="J220" i="95"/>
  <c r="J113" i="95"/>
  <c r="J119" i="95"/>
  <c r="I87" i="95"/>
  <c r="I164" i="95"/>
  <c r="I65" i="95"/>
  <c r="I220" i="95"/>
  <c r="I34" i="95"/>
  <c r="I187" i="95"/>
  <c r="I195" i="95"/>
  <c r="I152" i="95"/>
  <c r="I16" i="95"/>
  <c r="J124" i="95"/>
  <c r="J117" i="95"/>
  <c r="J25" i="95"/>
  <c r="J27" i="95"/>
  <c r="J93" i="95"/>
  <c r="J129" i="95"/>
  <c r="J231" i="95"/>
  <c r="J131" i="95"/>
  <c r="J7" i="95"/>
  <c r="J20" i="95"/>
  <c r="J92" i="95"/>
  <c r="J26" i="95"/>
  <c r="J151" i="95"/>
  <c r="J156" i="95"/>
  <c r="K234" i="95"/>
  <c r="J212" i="95"/>
  <c r="J10" i="95"/>
  <c r="J32" i="95"/>
  <c r="J50" i="95"/>
  <c r="I128" i="95"/>
  <c r="J214" i="95"/>
  <c r="I53" i="95"/>
  <c r="J123" i="95"/>
  <c r="I21" i="95"/>
  <c r="I20" i="95"/>
  <c r="I113" i="95"/>
  <c r="J217" i="95"/>
  <c r="J33" i="95"/>
  <c r="I217" i="95"/>
  <c r="I211" i="95"/>
  <c r="I71" i="95"/>
  <c r="J147" i="95"/>
  <c r="J228" i="95"/>
  <c r="J174" i="95"/>
  <c r="I193" i="95"/>
  <c r="I73" i="95"/>
  <c r="J44" i="95"/>
  <c r="J58" i="95"/>
  <c r="J215" i="95"/>
  <c r="J91" i="95"/>
  <c r="I97" i="95"/>
  <c r="J127" i="95"/>
  <c r="J172" i="95"/>
  <c r="J191" i="95"/>
  <c r="J60" i="95"/>
  <c r="J48" i="95"/>
  <c r="J15" i="95"/>
  <c r="J12" i="95"/>
  <c r="I99" i="95"/>
  <c r="I43" i="95"/>
  <c r="I181" i="95"/>
  <c r="I162" i="95"/>
  <c r="I179" i="95"/>
  <c r="I219" i="95"/>
  <c r="I218" i="95"/>
  <c r="I42" i="95"/>
  <c r="I102" i="95"/>
  <c r="I175" i="95"/>
  <c r="I28" i="95"/>
  <c r="I82" i="95"/>
  <c r="I19" i="95"/>
  <c r="I70" i="95"/>
  <c r="I212" i="95"/>
  <c r="J114" i="95"/>
  <c r="I17" i="95"/>
  <c r="J104" i="95"/>
  <c r="I22" i="95"/>
  <c r="I119" i="95"/>
  <c r="I100" i="95"/>
  <c r="I78" i="95"/>
  <c r="I64" i="95"/>
  <c r="I140" i="95"/>
  <c r="I166" i="95"/>
  <c r="I83" i="95"/>
  <c r="I174" i="95"/>
  <c r="I221" i="95"/>
  <c r="I213" i="95"/>
  <c r="J161" i="95"/>
  <c r="J208" i="95"/>
  <c r="J225" i="95"/>
  <c r="I11" i="95"/>
  <c r="J101" i="95"/>
  <c r="J69" i="95"/>
  <c r="J176" i="95"/>
  <c r="I69" i="95"/>
  <c r="J56" i="95"/>
  <c r="I106" i="95"/>
  <c r="J164" i="95"/>
  <c r="J74" i="95"/>
  <c r="I163" i="95"/>
  <c r="I170" i="95"/>
  <c r="J87" i="95"/>
  <c r="I23" i="95"/>
  <c r="J21" i="95"/>
  <c r="I77" i="95"/>
  <c r="I109" i="95"/>
  <c r="I157" i="95"/>
  <c r="I134" i="95"/>
  <c r="I79" i="95"/>
  <c r="I143" i="95"/>
  <c r="I72" i="95"/>
  <c r="I9" i="95"/>
  <c r="I91" i="95"/>
  <c r="I155" i="95"/>
  <c r="I14" i="95"/>
  <c r="J133" i="95"/>
  <c r="J222" i="95"/>
  <c r="J142" i="95"/>
  <c r="J24" i="95"/>
  <c r="J146" i="95"/>
  <c r="J194" i="95"/>
  <c r="J200" i="95"/>
  <c r="J80" i="95"/>
  <c r="J96" i="95"/>
  <c r="J193" i="95"/>
  <c r="J11" i="95"/>
  <c r="J36" i="95"/>
  <c r="J39" i="95"/>
  <c r="J170" i="95"/>
  <c r="I147" i="95"/>
  <c r="I224" i="95"/>
  <c r="J98" i="95"/>
  <c r="I159" i="95"/>
  <c r="I13" i="95"/>
  <c r="I188" i="95"/>
  <c r="J144" i="95"/>
  <c r="I107" i="95"/>
  <c r="I130" i="95"/>
  <c r="I208" i="95"/>
  <c r="I50" i="95"/>
  <c r="J22" i="95"/>
  <c r="J202" i="95"/>
  <c r="J167" i="95"/>
  <c r="J201" i="95"/>
  <c r="J203" i="95"/>
  <c r="J184" i="95"/>
  <c r="J77" i="95"/>
  <c r="I154" i="95"/>
  <c r="I144" i="95"/>
  <c r="I58" i="95"/>
  <c r="J83" i="95"/>
  <c r="I123" i="95"/>
  <c r="I176" i="95"/>
  <c r="J140" i="95"/>
  <c r="I201" i="95"/>
  <c r="J185" i="95"/>
  <c r="I44" i="95"/>
  <c r="I57" i="95"/>
  <c r="J100" i="95"/>
  <c r="I214" i="95"/>
  <c r="I110" i="95"/>
  <c r="I186" i="95"/>
  <c r="J128" i="95"/>
  <c r="I90" i="95"/>
  <c r="I111" i="95"/>
  <c r="C142" i="93"/>
  <c r="G14" i="87"/>
  <c r="C14" i="87"/>
  <c r="C12" i="85"/>
  <c r="C259" i="97"/>
  <c r="E259" i="97"/>
  <c r="G259" i="97"/>
  <c r="E234" i="95"/>
  <c r="C234" i="95"/>
  <c r="G142" i="93"/>
  <c r="E142" i="93"/>
  <c r="J234" i="95" l="1"/>
  <c r="I234" i="95"/>
</calcChain>
</file>

<file path=xl/sharedStrings.xml><?xml version="1.0" encoding="utf-8"?>
<sst xmlns="http://schemas.openxmlformats.org/spreadsheetml/2006/main" count="6174" uniqueCount="987">
  <si>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</si>
  <si>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</si>
  <si>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</si>
  <si>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</si>
  <si>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</si>
  <si>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</si>
  <si>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</si>
  <si>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</si>
  <si>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</si>
  <si>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</si>
  <si>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</si>
  <si>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</si>
  <si>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</si>
  <si>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</si>
  <si>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</si>
  <si>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</si>
  <si>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</si>
  <si>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</si>
  <si>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</si>
  <si>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</si>
  <si>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</si>
  <si>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</si>
  <si>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</si>
  <si>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</si>
  <si>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</si>
  <si>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</si>
  <si>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</si>
  <si>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</si>
  <si>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</si>
  <si>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</si>
  <si>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</si>
  <si>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</si>
  <si>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</si>
  <si>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</si>
  <si>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</si>
  <si>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</si>
  <si>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</si>
  <si>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</si>
  <si>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</si>
  <si>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</si>
  <si>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</si>
  <si>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</si>
  <si>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</si>
  <si>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</si>
  <si>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</si>
  <si>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</si>
  <si>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</si>
  <si>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</si>
  <si>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</si>
  <si>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</si>
  <si>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</si>
  <si>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</si>
  <si>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</si>
  <si>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</si>
  <si>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</si>
  <si>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</si>
  <si>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</si>
  <si>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</si>
  <si>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</si>
  <si>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</si>
  <si>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</si>
  <si>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</si>
  <si>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</si>
  <si>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</si>
  <si>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</si>
  <si>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</si>
  <si>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</si>
  <si>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</si>
  <si>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</si>
  <si>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</si>
  <si>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</si>
  <si>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</si>
  <si>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</si>
  <si>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</si>
  <si>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</si>
  <si>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</si>
  <si>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</si>
  <si>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</si>
  <si>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</si>
  <si>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</si>
  <si>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</si>
  <si>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</si>
  <si>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</si>
  <si>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</si>
  <si>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</si>
  <si>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</si>
  <si>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</si>
  <si>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</si>
  <si>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</si>
  <si>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</si>
  <si>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</si>
  <si>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</si>
  <si>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</si>
  <si>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</si>
  <si>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</si>
  <si>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</si>
  <si>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</si>
  <si>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</si>
  <si>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</si>
  <si>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</si>
  <si>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</si>
  <si>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</si>
  <si>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</si>
  <si>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</si>
  <si>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</si>
  <si>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</si>
  <si>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</si>
  <si>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</si>
  <si>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</si>
  <si>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</si>
  <si>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</si>
  <si>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</si>
  <si>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</si>
  <si>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</si>
  <si>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</si>
  <si>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</si>
  <si>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</si>
  <si>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</si>
  <si>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</si>
  <si>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</si>
  <si>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</si>
  <si>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</si>
  <si>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</si>
  <si>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</si>
  <si>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</si>
  <si>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</si>
  <si>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</si>
  <si>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</si>
  <si>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</si>
  <si>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</si>
  <si>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</si>
  <si>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</si>
  <si>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</si>
  <si>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</si>
  <si>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</si>
  <si>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</si>
  <si>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</si>
  <si>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</si>
  <si>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</si>
  <si>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</si>
  <si>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</si>
  <si>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</si>
  <si>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</si>
  <si>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</si>
  <si>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</si>
  <si>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</si>
  <si>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</si>
  <si>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</si>
  <si>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</si>
  <si>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</si>
  <si>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</si>
  <si>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</si>
  <si>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</si>
  <si>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</si>
  <si>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</si>
  <si>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</si>
  <si>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</si>
  <si>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</si>
  <si>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</si>
  <si>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</si>
  <si>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</si>
  <si>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</si>
  <si>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</si>
  <si>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</si>
  <si>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</si>
  <si>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</si>
  <si>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</si>
  <si>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</si>
  <si>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</si>
  <si>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</si>
  <si>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</si>
  <si>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</si>
  <si>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</si>
  <si>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</si>
  <si>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</si>
  <si>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</si>
  <si>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</si>
  <si>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</si>
  <si>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</si>
  <si>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</si>
  <si>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</si>
  <si>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</si>
  <si>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</si>
  <si>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</si>
  <si>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</si>
  <si>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</si>
  <si>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</si>
  <si>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</si>
  <si>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</si>
  <si>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</si>
  <si>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</si>
  <si>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</si>
  <si>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</si>
  <si>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</si>
  <si>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</si>
  <si>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</si>
  <si>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</si>
  <si>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</si>
  <si>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</si>
  <si>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</si>
  <si>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</si>
  <si>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</si>
  <si>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</si>
  <si>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</si>
  <si>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</si>
  <si>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</si>
  <si>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</si>
  <si>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</si>
  <si>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</si>
  <si>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</si>
  <si>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</si>
  <si>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</si>
  <si>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</si>
  <si>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</si>
  <si>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</si>
  <si>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</si>
  <si>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</si>
  <si>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</si>
  <si>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</si>
  <si>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</si>
  <si>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</si>
  <si>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</si>
  <si>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</si>
  <si>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</si>
  <si>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</si>
  <si>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</si>
  <si>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</si>
  <si>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</si>
  <si>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</si>
  <si>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</si>
  <si>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</si>
  <si>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</si>
  <si>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</si>
  <si>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</si>
  <si>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</si>
  <si>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</si>
  <si>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</si>
  <si>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</si>
  <si>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</si>
  <si>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</si>
  <si>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</si>
  <si>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</si>
  <si>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</si>
  <si>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</si>
  <si>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</si>
  <si>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</si>
  <si>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</si>
  <si>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</si>
  <si>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</si>
  <si>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</si>
  <si>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</si>
  <si>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</si>
  <si>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</si>
  <si>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</si>
  <si>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</si>
  <si>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</si>
  <si>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</si>
  <si>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</si>
  <si>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</si>
  <si>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</si>
  <si>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</si>
  <si>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</si>
  <si>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</si>
  <si>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</si>
  <si>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</si>
  <si>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</si>
  <si>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</si>
  <si>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</si>
  <si>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</si>
  <si>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</si>
  <si>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</si>
  <si>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</si>
  <si>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</si>
  <si>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</si>
  <si>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</si>
  <si>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</si>
  <si>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</si>
  <si>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</si>
  <si>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</si>
  <si>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</si>
  <si>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</si>
  <si>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</si>
  <si>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</si>
  <si>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</si>
  <si>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</si>
  <si>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</si>
  <si>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</si>
  <si>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</si>
  <si>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</si>
  <si>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</si>
  <si>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</si>
  <si>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</si>
  <si>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</si>
  <si>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</si>
  <si>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</si>
  <si>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</si>
  <si>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</si>
  <si>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</si>
  <si>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</si>
  <si>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</si>
  <si>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</si>
  <si>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</si>
  <si>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</si>
  <si>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</si>
  <si>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</si>
  <si>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</si>
  <si>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</si>
  <si>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</si>
  <si>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</si>
  <si>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</si>
  <si>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</si>
  <si>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</si>
  <si>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</si>
  <si>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</si>
  <si>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</si>
  <si>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</si>
  <si>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</si>
  <si>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</si>
  <si>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</si>
  <si>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</si>
  <si>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</si>
  <si>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</si>
  <si>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</si>
  <si>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</si>
  <si>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</si>
  <si>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</si>
  <si>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</si>
  <si>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Algeria</t>
  </si>
  <si>
    <t>Table 27: Export by NetWeight</t>
  </si>
  <si>
    <t>Table 28: Import by mode of transport</t>
  </si>
  <si>
    <t>Table 29: Imported commodity by mode of transport</t>
  </si>
  <si>
    <t>Table 35: Commodity of the month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</si>
  <si>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</si>
  <si>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</si>
  <si>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</si>
  <si>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</si>
  <si>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</si>
  <si>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</si>
  <si>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</si>
  <si>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</si>
  <si>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</si>
  <si>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</si>
  <si>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</si>
  <si>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</si>
  <si>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</si>
  <si>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</si>
  <si>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</si>
  <si>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</si>
  <si>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</si>
  <si>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</si>
  <si>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</si>
  <si>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</si>
  <si>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</si>
  <si>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</si>
  <si>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</si>
  <si>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</si>
  <si>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</si>
  <si>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</si>
  <si>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</si>
  <si>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</si>
  <si>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</si>
  <si>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</si>
  <si>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</si>
  <si>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</si>
  <si>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</si>
  <si>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</si>
  <si>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</si>
  <si>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</si>
  <si>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</si>
  <si>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</si>
  <si>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</si>
  <si>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</si>
  <si>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</si>
  <si>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</si>
  <si>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</si>
  <si>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</si>
  <si>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</si>
  <si>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</si>
  <si>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</si>
  <si>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</si>
  <si>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</si>
  <si>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</si>
  <si>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</si>
  <si>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</si>
  <si>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</si>
  <si>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</si>
  <si>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</si>
  <si>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</si>
  <si>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</si>
  <si>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</si>
  <si>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</si>
  <si>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</si>
  <si>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</si>
  <si>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</si>
  <si>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</si>
  <si>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</si>
  <si>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</si>
  <si>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</si>
  <si>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</si>
  <si>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</si>
  <si>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</si>
  <si>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</si>
  <si>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</si>
  <si>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</si>
  <si>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</si>
  <si>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</si>
  <si>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</si>
  <si>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</si>
  <si>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</si>
  <si>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</si>
  <si>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</si>
  <si>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</si>
  <si>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</si>
  <si>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</si>
  <si>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</si>
  <si>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</si>
  <si>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</si>
  <si>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</si>
  <si>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</si>
  <si>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</si>
  <si>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</si>
  <si>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</si>
  <si>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</si>
  <si>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</si>
  <si>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</si>
  <si>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</si>
  <si>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</si>
  <si>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</si>
  <si>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FLOW \ Year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</si>
  <si>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</si>
  <si>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</si>
  <si>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</si>
  <si>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</si>
  <si>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</si>
  <si>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</si>
  <si>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Exports(N$ m)</t>
  </si>
  <si>
    <t>Months</t>
  </si>
  <si>
    <t xml:space="preserve">Inland waterways </t>
  </si>
  <si>
    <t>Swaziland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</si>
  <si>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</si>
  <si>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</si>
  <si>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</si>
  <si>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</si>
  <si>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</si>
  <si>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</si>
  <si>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</si>
  <si>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</si>
  <si>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</si>
  <si>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</si>
  <si>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</si>
  <si>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</si>
  <si>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</si>
  <si>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</si>
  <si>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</si>
  <si>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</si>
  <si>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</si>
  <si>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</si>
  <si>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</si>
  <si>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</si>
  <si>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Trade balance</t>
  </si>
  <si>
    <t xml:space="preserve">Period </t>
  </si>
  <si>
    <t xml:space="preserve">Trade on Food Items </t>
  </si>
  <si>
    <t>971: Gold, non-monetary (excluding gold ores and concentrates)</t>
  </si>
  <si>
    <t>781: Motor vehicles for the transport of persons</t>
  </si>
  <si>
    <t>667: Pearls and precious or semiprecious stones, unworked or worked</t>
  </si>
  <si>
    <t>286: Uranium or thorium ores and concentrates</t>
  </si>
  <si>
    <t>034: Fish, fresh (live or dead), chilled or frozen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</si>
  <si>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</si>
  <si>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</si>
  <si>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</si>
  <si>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</si>
  <si>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</si>
  <si>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</si>
  <si>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</si>
  <si>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Cumulative Imports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</si>
  <si>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</si>
  <si>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</si>
  <si>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</si>
  <si>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</si>
  <si>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</si>
  <si>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</si>
  <si>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</si>
  <si>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</si>
  <si>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</si>
  <si>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</si>
  <si>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</si>
  <si>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</si>
  <si>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</si>
  <si>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</si>
  <si>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</si>
  <si>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</si>
  <si>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</si>
  <si>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</si>
  <si>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</si>
  <si>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</si>
  <si>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</si>
  <si>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</si>
  <si>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</si>
  <si>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</si>
  <si>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</si>
  <si>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</si>
  <si>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</si>
  <si>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</si>
  <si>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</si>
  <si>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</si>
  <si>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</si>
  <si>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</si>
  <si>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</si>
  <si>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</si>
  <si>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</si>
  <si>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</si>
  <si>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</si>
  <si>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</si>
  <si>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</si>
  <si>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</si>
  <si>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</si>
  <si>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</si>
  <si>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</si>
  <si>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</si>
  <si>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</si>
  <si>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</si>
  <si>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</si>
  <si>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</si>
  <si>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</si>
  <si>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</si>
  <si>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</si>
  <si>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</si>
  <si>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</si>
  <si>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</si>
  <si>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</si>
  <si>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</si>
  <si>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</si>
  <si>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</si>
  <si>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</si>
  <si>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</si>
  <si>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</si>
  <si>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</si>
  <si>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</si>
  <si>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</si>
  <si>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</si>
  <si>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</si>
  <si>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</si>
  <si>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</si>
  <si>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</si>
  <si>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</si>
  <si>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</si>
  <si>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</si>
  <si>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</si>
  <si>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</si>
  <si>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</si>
  <si>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</si>
  <si>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</si>
  <si>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</si>
  <si>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</si>
  <si>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</si>
  <si>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</si>
  <si>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</si>
  <si>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</si>
  <si>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</si>
  <si>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</si>
  <si>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</si>
  <si>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</si>
  <si>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</si>
  <si>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</si>
  <si>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</si>
  <si>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</si>
  <si>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</si>
  <si>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</si>
  <si>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</si>
  <si>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</si>
  <si>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</si>
  <si>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</si>
  <si>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</si>
  <si>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</si>
  <si>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</si>
  <si>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</si>
  <si>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</si>
  <si>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</si>
  <si>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</si>
  <si>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</si>
  <si>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</si>
  <si>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</si>
  <si>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</si>
  <si>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</si>
  <si>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</si>
  <si>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</si>
  <si>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</si>
  <si>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</si>
  <si>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</si>
  <si>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</si>
  <si>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</si>
  <si>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Paraguay</t>
  </si>
  <si>
    <t>Bolivia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</si>
  <si>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</si>
  <si>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</si>
  <si>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</si>
  <si>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</si>
  <si>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</si>
  <si>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</si>
  <si>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</si>
  <si>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</si>
  <si>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</si>
  <si>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</si>
  <si>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</si>
  <si>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</si>
  <si>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</si>
  <si>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</si>
  <si>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</si>
  <si>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</si>
  <si>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</si>
  <si>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</si>
  <si>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</si>
  <si>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</si>
  <si>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</si>
  <si>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</si>
  <si>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</si>
  <si>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</si>
  <si>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SITC \ FLOW</t>
  </si>
  <si>
    <t>Vanuatu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</si>
  <si>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</si>
  <si>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</si>
  <si>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</si>
  <si>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</si>
  <si>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</si>
  <si>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</si>
  <si>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</si>
  <si>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</si>
  <si>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</si>
  <si>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Rwanda</t>
  </si>
  <si>
    <t>Nauru</t>
  </si>
  <si>
    <t>Mauritania</t>
  </si>
  <si>
    <t>Lao Peoples Democratic Republic</t>
  </si>
  <si>
    <t>Haiti</t>
  </si>
  <si>
    <t>Gambia</t>
  </si>
  <si>
    <t>Burkinafaso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</si>
  <si>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</si>
  <si>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</si>
  <si>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</si>
  <si>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</si>
  <si>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</si>
  <si>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</si>
  <si>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</si>
  <si>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</si>
  <si>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</si>
  <si>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</si>
  <si>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</si>
  <si>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</si>
  <si>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</si>
  <si>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</si>
  <si>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</si>
  <si>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</si>
  <si>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</si>
  <si>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Sept</t>
  </si>
  <si>
    <t>Nepal</t>
  </si>
  <si>
    <t xml:space="preserve">Manufacturing </t>
  </si>
  <si>
    <t>Agriculture, forestry and fishing</t>
  </si>
  <si>
    <t>Guyana</t>
  </si>
  <si>
    <t>Niue</t>
  </si>
  <si>
    <t>Wallis And Futuna</t>
  </si>
  <si>
    <t>Svalbard &amp; Jan Mayen</t>
  </si>
  <si>
    <t>Multimodal</t>
  </si>
  <si>
    <t>As reported in December_2025  Bulletin (N$ m)</t>
  </si>
  <si>
    <t>Equatorial Guinea</t>
  </si>
  <si>
    <t>British Indian Ocean Territory</t>
  </si>
  <si>
    <t>Republic Of Yemen</t>
  </si>
  <si>
    <t>Gibraltar</t>
  </si>
  <si>
    <t>Cocos (Keeling) Island</t>
  </si>
  <si>
    <t>Somalia</t>
  </si>
  <si>
    <t>Netherlands Antilles</t>
  </si>
  <si>
    <t>325:Coke and semi-coke (including char) of coal, of lignite or of peat, whether or not agglomerated; retort carbon</t>
  </si>
  <si>
    <t>351:Electric current</t>
  </si>
  <si>
    <t>Sarasungu Border Post</t>
  </si>
  <si>
    <t>Grootfontein</t>
  </si>
  <si>
    <t>Maldives</t>
  </si>
  <si>
    <t>Benin</t>
  </si>
  <si>
    <t>Mayotte</t>
  </si>
  <si>
    <t>Montserrat</t>
  </si>
  <si>
    <t>Venezuela</t>
  </si>
  <si>
    <t>Syrian Arab Republic</t>
  </si>
  <si>
    <t>New Caledonia</t>
  </si>
  <si>
    <t>French Southern Territories</t>
  </si>
  <si>
    <t>Tajikistan</t>
  </si>
  <si>
    <t>Katwitwi</t>
  </si>
  <si>
    <t>Rundu</t>
  </si>
  <si>
    <t>Tsumeb</t>
  </si>
  <si>
    <t>682:Copper</t>
  </si>
  <si>
    <t xml:space="preserve">Postal </t>
  </si>
  <si>
    <t>Postal</t>
  </si>
  <si>
    <t>Other Windhoek offices</t>
  </si>
  <si>
    <t>Time series-Arimasvlei</t>
  </si>
  <si>
    <t>Trade through Ariamsvlei</t>
  </si>
  <si>
    <t>Namibia Intra Africa Trade, 2017 - 2025, (N$ m)</t>
  </si>
  <si>
    <t>19: Preparations of cereals, flour, starch or milk; pastrycooks' products</t>
  </si>
  <si>
    <t>Jan 2026 %</t>
  </si>
  <si>
    <t>Exports of Food items (January 2025 - January  2026)</t>
  </si>
  <si>
    <t>Imports of Food items (January 2025 - January  2026)</t>
  </si>
  <si>
    <t>United States of America</t>
  </si>
  <si>
    <t>Country of Destination and Origin for Honey, January 2025</t>
  </si>
  <si>
    <t>Trade in  Honey (Jan  2025 - Jan  2026)</t>
  </si>
  <si>
    <t>Namibia Intra-SADC trade by partners, January 2026, (N$ m)</t>
  </si>
  <si>
    <t>Democratic Republic of Congo</t>
  </si>
  <si>
    <t>Namibia Intra-SADC trade by products, January 2026, (N$ m)</t>
  </si>
  <si>
    <t>Table 34: Food items (N$ m), January 2025 to January  2026</t>
  </si>
  <si>
    <t>Table 35: Beverages (N$ m), January  2025 to January  2026</t>
  </si>
  <si>
    <t>Table 36: Commodity of the month - Honey</t>
  </si>
  <si>
    <t xml:space="preserve">Table 33: Namibia Intra SADC trade (N$ m) </t>
  </si>
  <si>
    <t>Namibia Intra-Africa trade by partners, January 2026, (N$ m)</t>
  </si>
  <si>
    <t>Namibia Intra-Africa trade by products, January 2026, (N$ m)</t>
  </si>
  <si>
    <t>Table 31: Trade by border post/office (N$ m) for the month of January 2026</t>
  </si>
  <si>
    <t>Eswatini</t>
  </si>
  <si>
    <t>Table 1: December 2025 Revisions</t>
  </si>
  <si>
    <t>Table 2: Cumulative Trade Value - 2025</t>
  </si>
  <si>
    <t>Table 3: Cumulative Trade value - 2026</t>
  </si>
  <si>
    <t>Table 1: December 2025 Revisions by Value (N$ m)</t>
  </si>
  <si>
    <t>As reported in January_2026  Bulletin (N$ m)</t>
  </si>
  <si>
    <t>Table 2: Cumulative Trade Value(N$ m) - 2025</t>
  </si>
  <si>
    <t>Table 3: Cumulative Trade Value (N$ m) - 2026</t>
  </si>
  <si>
    <t>B: Mining and quarrying</t>
  </si>
  <si>
    <t>C: Manufacturing</t>
  </si>
  <si>
    <t>A: Agriculture, forestry and fishing</t>
  </si>
  <si>
    <t>E: Water supply; sewerage, waste management and remediation activities</t>
  </si>
  <si>
    <t>R: Arts, entertainment and recreation</t>
  </si>
  <si>
    <t>J: Information and communication</t>
  </si>
  <si>
    <t>H: Transportation and storage</t>
  </si>
  <si>
    <t>Q: Human health and social work activities</t>
  </si>
  <si>
    <t>D: Electricity, gas, steam and air conditioning supply</t>
  </si>
  <si>
    <t>M: Professional, scientific and technical activities</t>
  </si>
  <si>
    <t>Table 7: Exports by top 3 Industries by top 5 commodities (N$), Jan 2026</t>
  </si>
  <si>
    <t>Table 8: Imports by top 3 Industries by top 5 commodities (N$), Jan 2026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</si>
  <si>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Jan 2025 to Jan 2026</t>
    </r>
  </si>
  <si>
    <t>Table 10: Trade balance by Partner (N$ m), Jan 2026</t>
  </si>
  <si>
    <t>United Kingdom</t>
  </si>
  <si>
    <t>287: Ores and concentrates of base metals, n.e.s.</t>
  </si>
  <si>
    <t>057: Fruit and nuts (not including oil nuts), fresh or dried</t>
  </si>
  <si>
    <t>283: Copper ores and concentrates; copper mattes; cement copper</t>
  </si>
  <si>
    <t>011: Meat of bovine animals, fresh, chilled or frozen</t>
  </si>
  <si>
    <t>245: Fuel wood (excluding wood waste) and wood charcoal</t>
  </si>
  <si>
    <t>001: Live animals other than animals of division 03</t>
  </si>
  <si>
    <t xml:space="preserve">036: Crustaceans, molluscs and aquatic invertebrates, whether in shell or not, fresh (live or dead), </t>
  </si>
  <si>
    <t>289: Ores and concentrates of precious metals; waste, scrap and sweepings of precious metals (other than of gold)</t>
  </si>
  <si>
    <t>288: Non-ferrous base metal waste and scrap, n.e.s.</t>
  </si>
  <si>
    <t>273: Stone, sand and gravel</t>
  </si>
  <si>
    <t>274: Sulphur and unroasted iron pyrites</t>
  </si>
  <si>
    <t>792: Aircraft and associated equipment; spacecraft (including satellites) and spacecraft launch vehicles; parts thereof</t>
  </si>
  <si>
    <t>282: Ferrous waste and scrap; remelting scrap ingots of iron or steel</t>
  </si>
  <si>
    <t>562: Fertilizers (other than those of group 272)</t>
  </si>
  <si>
    <t>661: Lime, cement, and fabricated construction materials (except glass and clay materials)</t>
  </si>
  <si>
    <t>278: Other crude minerals</t>
  </si>
  <si>
    <t>037: Fish, crustaceans, molluscs and other aquatic invertebrates, prepared or preserved, n.e.s.</t>
  </si>
  <si>
    <t>679: Tubes, pipes and hollow profiles, and tube or pipe fittings, of iron or steel</t>
  </si>
  <si>
    <t>611: Leather</t>
  </si>
  <si>
    <t>035: Fish, dried, salted or in brine; smoked fish (whether or not cooked before or during the smoking process); flours, meals and pellets of fish, fit for human consumption</t>
  </si>
  <si>
    <t>511: Hydrocarbons, n.e.s., and their halogenated, sulphonated, nitrated or nitrosated derivatives</t>
  </si>
  <si>
    <t>272: Fertilizers, crude, other than those of division 56</t>
  </si>
  <si>
    <t>676: Iron and steel bars, rods, angles, shapes and sections (including sheet piling)</t>
  </si>
  <si>
    <t>931: Special transactions and commodities not classified according to kind</t>
  </si>
  <si>
    <t>718: Power-generating machinery and parts thereof, n.e.s.</t>
  </si>
  <si>
    <t>251: Pulp and waste paper</t>
  </si>
  <si>
    <t>896: Works of art, collectors' pieces and antiques</t>
  </si>
  <si>
    <t>246: Wood in chips or particles and wood waste</t>
  </si>
  <si>
    <t>613: Furskins, tanned or dressed (including heads, tails, paws and other pieces or cuttings), unassembled, or assembled</t>
  </si>
  <si>
    <t>047: Other cereal meals and flours</t>
  </si>
  <si>
    <t>211: Hides and skins (except furskins), raw</t>
  </si>
  <si>
    <t>016: Meat and edible meat offal, salted, in brine, dried or smoked; edible flours and meals of meat or meat offal</t>
  </si>
  <si>
    <t>322: Briquettes, lignite and peat</t>
  </si>
  <si>
    <t>793: Ships, boats (including hovercraft) and floating structures</t>
  </si>
  <si>
    <t xml:space="preserve">735: Parts, n.e.s., and accessories suitable for use solely or principally with the machines falling within groups 731 and 733 </t>
  </si>
  <si>
    <t>043: Barley, unmilled</t>
  </si>
  <si>
    <t>681: Silver, platinum and other metals of the platinum group</t>
  </si>
  <si>
    <t>267: Other man-made fibres suitable for spinning; waste of man-made fibres</t>
  </si>
  <si>
    <t>244: Cork, natural, raw and waste (including natural cork in blocks or sheets)</t>
  </si>
  <si>
    <t>268: Wool and other animal hair (including wool tops)</t>
  </si>
  <si>
    <t>683: Nickel</t>
  </si>
  <si>
    <t>685: Lead</t>
  </si>
  <si>
    <t>231: Natural rubber, balata, gutta-percha, guayule, chicle and similar natural gums, in primary forms (including latex) or in plates, sheets or strip</t>
  </si>
  <si>
    <t>689: Miscellaneous non-ferrous base metals employed in metallurgy, and cermets</t>
  </si>
  <si>
    <t>264: Jute and other textile bast fibres, n.e.s., raw or processed but not spun; tow and waste of these fibres (including yarn waste and garnetted stock)</t>
  </si>
  <si>
    <t>599: Residual products of the chemical or allied industries, n.e.s.; municipal waste; sewage sludge; other wastes</t>
  </si>
  <si>
    <t>025: Eggs, birds', and egg yolks, fresh, dried or otherwise preserved, sweetened or not; egg albumin</t>
  </si>
  <si>
    <t>345: Coal gas, water gas, producer gas and similar gases, other than petroleum gases and other gaseous hydrocarbons</t>
  </si>
  <si>
    <t>686: Zinc</t>
  </si>
  <si>
    <t>333: Petroleum oils and oils obtained from bituminous minerals, crude</t>
  </si>
  <si>
    <t>525: Radioactive and associated materials</t>
  </si>
  <si>
    <t>961: Coin (other than gold coin), not being legal tender</t>
  </si>
  <si>
    <t>277: Natural abrasives, n.e.s. (including industrial diamonds)</t>
  </si>
  <si>
    <t>281: Iron ore and concentrates</t>
  </si>
  <si>
    <t>513: Carboxylic acids and their anhydrides, halides, peroxides and peroxyacids; their halogenated, sulphonated, nitrated or nitrosated derivatives</t>
  </si>
  <si>
    <t>263: Cotton</t>
  </si>
  <si>
    <t>633: Cork manufactures</t>
  </si>
  <si>
    <t>232: Synthetic rubber; reclaimed rubber; waste, parings and scrap of unhardened rubber</t>
  </si>
  <si>
    <t>222: Oil-seeds and oleaginous fruits of a kind used for the extraction of “soft” fixed vegetable oils (excluding flours and meals)</t>
  </si>
  <si>
    <t>431: Animal or vegetable fats and oils, processed; waxes; inedible mixtures or preparations of animal or vegetable fats or oils, n.e.s.</t>
  </si>
  <si>
    <t>072: Cocoa</t>
  </si>
  <si>
    <t>572: Polymers of styrene, in primary forms</t>
  </si>
  <si>
    <t>791: Railway vehicles (including hovertrains) and associated equipment</t>
  </si>
  <si>
    <t>712: Steam turbines and other vapour turbines and parts thereof, n.e.s.</t>
  </si>
  <si>
    <t>574: Polyacetals, other polyethers and epoxide resins, in primary forms; polycarbonates, alkyd resins, polyallyl esters and other polyesters, in primary forms</t>
  </si>
  <si>
    <t>612: Manufactures of leather or of composition leather, n.e.s.; saddlery and harness</t>
  </si>
  <si>
    <t>531: Synthetic organic colouring matter and colour lakes, and preparations based thereon</t>
  </si>
  <si>
    <t>882: Photographic and cinematographic supplies</t>
  </si>
  <si>
    <t>512: Alcohols, phenols, phenol-alcohols, and their halogenated, sulphonated, nitrated or nitrosated derivatives</t>
  </si>
  <si>
    <t>677: Rails or railway track construction material, of iron or steel</t>
  </si>
  <si>
    <t>269: Worn clothing and other worn textile articles; rags</t>
  </si>
  <si>
    <t>266: Synthetic fibres suitable for spinning</t>
  </si>
  <si>
    <t>411: Animal oils and fats</t>
  </si>
  <si>
    <t>583: Monofilament of which any cross-sectional dimension exceeds 1 mm, rods, sticks and profile shapes, whether or not surface-worked but not otherwise worked, of plastics</t>
  </si>
  <si>
    <t>532: Dyeing and tanning extracts, and synthetic tanning materials</t>
  </si>
  <si>
    <t>651: Textile yarn</t>
  </si>
  <si>
    <t>763: Sound recording or reproducing apparatus; video recording or reproducing apparatus; whether or not incorporating a video tuner</t>
  </si>
  <si>
    <t>325: Coke and semi-coke (including char) of coal, of lignite or of peat, whether or not agglomerated; retort carbon</t>
  </si>
  <si>
    <t>652: Cotton fabrics, woven (not including narrow or special fabrics)</t>
  </si>
  <si>
    <t>725: Paper mill and pulp mill machinery, paper-cutting machines and other machinery for the manufacture of paper articles; parts thereof</t>
  </si>
  <si>
    <t>873: Meters and counters, n.e.s.</t>
  </si>
  <si>
    <t>871: Optical instruments and apparatus, n.e.s.</t>
  </si>
  <si>
    <t>046: Meal and flour of wheat and flour of meslin</t>
  </si>
  <si>
    <t>672: Ingots and other primary forms, of iron or steel; semi-finished products of iron or steel</t>
  </si>
  <si>
    <t>573: Polymers of vinyl chloride or of other halogenated olefins, in primary forms</t>
  </si>
  <si>
    <t>733: Machine tools for working metal, sintered metal carbides or cermets, without removing material</t>
  </si>
  <si>
    <t>045: Cereals, unmilled (other than wheat, rice, barley and maize)</t>
  </si>
  <si>
    <t>762: Reception apparatus for radio-broadcasting, whether or not combined, in the same housing, with sound recording or reproducing apparatus or a clock</t>
  </si>
  <si>
    <t>223: Oil-seeds and oleaginous fruits, whole or broken, of a kind used for the extraction of other fixed vegetable oils (including flours and meals of oil-seeds or oleaginous fruit, n.e.s.)</t>
  </si>
  <si>
    <t>881: Photographic apparatus and equipment, n.e.s.</t>
  </si>
  <si>
    <t>654: Other textile fabrics, woven</t>
  </si>
  <si>
    <t>656: Tulles, lace, embroidery, ribbons, trimmings and other smallwares</t>
  </si>
  <si>
    <t>516: Other organic chemicals</t>
  </si>
  <si>
    <t>343: Natural gas, whether or not liquefied</t>
  </si>
  <si>
    <t>693: Wire products (excluding insulated electrical wiring) and fencing grills</t>
  </si>
  <si>
    <t>515: Organo-inorganic compounds, heterocyclic compounds, nucleic acids and their salts, and sulphonamides</t>
  </si>
  <si>
    <t>659: Floor coverings, etc.</t>
  </si>
  <si>
    <t>737: Metalworking machinery (other than machine tools) and parts thereof, n.e.s.</t>
  </si>
  <si>
    <t>655: Knitted or crocheted fabrics (including tubular knit fabrics, n.e.s., pile fabrics and openwork fabrics), n.e.s.</t>
  </si>
  <si>
    <t>675: Flat-rolled products of alloy steel</t>
  </si>
  <si>
    <t>811: Prefabricated buildings</t>
  </si>
  <si>
    <t>653: Fabrics, woven, of man-made textile materials (not including narrow or special fabrics)</t>
  </si>
  <si>
    <t>074: Tea and maté</t>
  </si>
  <si>
    <t>023: Butter and other fats and oils derived from milk</t>
  </si>
  <si>
    <t>671: Pig-iron, spiegeleisen, sponge iron, iron or steel granules and powders and ferro-alloys</t>
  </si>
  <si>
    <t>885: Watches and clocks</t>
  </si>
  <si>
    <t>291: Crude animal materials, n.e.s.</t>
  </si>
  <si>
    <t>422: Fixed vegetable fats and oils, crude, refined or fractionated, other than “soft”</t>
  </si>
  <si>
    <t>759: Parts and accessories (other than covers, carrying cases and the like) suitable for use solely or principally with machines falling withing groups 751 and 752</t>
  </si>
  <si>
    <t>247: Wood in the rough, whether or not stripped of bark or sapwood, or roughly squared</t>
  </si>
  <si>
    <t>666: Pottery</t>
  </si>
  <si>
    <t>696: Cutlery</t>
  </si>
  <si>
    <t>342: Liquefied propane and butane</t>
  </si>
  <si>
    <t>897: Jewellery, goldsmiths' and silversmiths' wares, and other articles of precious or semiprecious materials, n.e.s.</t>
  </si>
  <si>
    <t>898: Musical instruments and parts and accessories thereof; records, tapes and other sound or similar recordings (excluding goods of groups 763 and 883)</t>
  </si>
  <si>
    <t>727: Food-processing machines (excluding domestic); parts thereof</t>
  </si>
  <si>
    <t>041: Wheat (including spelt) and meslin, unmilled</t>
  </si>
  <si>
    <t>812: Sanitary, plumbing and heating fixtures and fittings, n.e.s.</t>
  </si>
  <si>
    <t>635: Wood manufactures, n.e.s.</t>
  </si>
  <si>
    <t>724: Textile and leather machinery and parts thereof, n.e.s.</t>
  </si>
  <si>
    <t>678: Wire of iron or steel</t>
  </si>
  <si>
    <t>891: Arms and ammunition</t>
  </si>
  <si>
    <t>731: Machine tools working by removing metal or other material</t>
  </si>
  <si>
    <t>321: Coal, whether or not pulverized, but not agglomerated</t>
  </si>
  <si>
    <t>265: Vegetable textile fibres (other than cotton and jute), raw or processed but not spun; waste of these fibres</t>
  </si>
  <si>
    <t>597: Prepared additives for mineral oils and the like; prepared liquids for hydraulic transmission; anti-freezing preparations and prepared de-icing fluids; lubricating preparations</t>
  </si>
  <si>
    <t>664: Glass</t>
  </si>
  <si>
    <t>673: Flat-rolled products of iron or non-alloy steel, not clad, plated or coated</t>
  </si>
  <si>
    <t>344: Petroleum gases and other gaseous hydrocarbons, n.e.s.</t>
  </si>
  <si>
    <t>663: Mineral manufactures, n.e.s.</t>
  </si>
  <si>
    <t>746: Ball- or roller bearings</t>
  </si>
  <si>
    <t>714: Engines and motors, non-electric (other than those of groups 712, 713 and 718); parts, n.e.s., of these engines and motors</t>
  </si>
  <si>
    <t>621: Materials of rubber (e.g., pastes, plates, sheets, rods, thread, tubes, of rubber)</t>
  </si>
  <si>
    <t>692: Metal containers for storage or transport</t>
  </si>
  <si>
    <t>846: Clothing accessories, of textile fabrics, whether or not knitted or crocheted (other than those for babies)</t>
  </si>
  <si>
    <t>785: Motor cycles (including mopeds) and cycles, motorized and non-motirized; invalid carriages</t>
  </si>
  <si>
    <t>071: Coffee and coffee substitutes</t>
  </si>
  <si>
    <t>091: Margarine and shortening</t>
  </si>
  <si>
    <t>592: Starches, inulin and wheat gluten; albuminoidal substances; glues</t>
  </si>
  <si>
    <t>634: Veneers, plywood, particle board, and other wood, worked, n.e.s.</t>
  </si>
  <si>
    <t>749: Non-electric parts and accessories of machinery, n.e.s.</t>
  </si>
  <si>
    <t>895: Office and stationery supplies, n.e.s.</t>
  </si>
  <si>
    <t>058: Fruit, preserved, and fruit preparations (excluding fruit juices)</t>
  </si>
  <si>
    <t>684: Aluminium</t>
  </si>
  <si>
    <t>514: Nitrogen-function compounds</t>
  </si>
  <si>
    <t>017: Meat and edible meat offal, prepared or preserved, n.e.s.</t>
  </si>
  <si>
    <t>774: Electrodiagnostic apparatus for medical, surgical, dental or veterinary purposes, and radiological apparatus</t>
  </si>
  <si>
    <t>662: Clay construction materials and refractory construction materials</t>
  </si>
  <si>
    <t>813: Lighting fixtures and fittings, n.e.s.</t>
  </si>
  <si>
    <t>697: Household equipment of base metal, n.e.s.</t>
  </si>
  <si>
    <t>726: Printing and bookbinding machinery and parts thereof</t>
  </si>
  <si>
    <t>848: Articles of apparel and clothing accessories of other than textile fabrics; headgear of all materials</t>
  </si>
  <si>
    <t>024: Cheese and curd</t>
  </si>
  <si>
    <t>248: Wood, simply worked, and railway sleepers of wood</t>
  </si>
  <si>
    <t>042: Rice</t>
  </si>
  <si>
    <t>582: Plates, sheets, film, foil and strip, of plastics</t>
  </si>
  <si>
    <t>843: Men's or boys' coats, capes, jackets, suits, blazers, trousers, shorts, shirts, underwear, nightwear and similar articles of textile fabrics,</t>
  </si>
  <si>
    <t>292: Crude vegetable materials, n.e.s.</t>
  </si>
  <si>
    <t xml:space="preserve">831: Trunks, suitcases, vanity cases, executive cases, briefcases, school satches, spectacle cases, binocular cases, camera cases, </t>
  </si>
  <si>
    <t xml:space="preserve">844: Women's or girls' coats, capes, jackets, suits, trousers, shorts, shirts, dresses and skirts, underwear, nightwear and similar articles of textile fabrics, </t>
  </si>
  <si>
    <t>657: Special yarns, special textile fabrics and related products</t>
  </si>
  <si>
    <t>533: Pigments, paints, varnishes and related materials</t>
  </si>
  <si>
    <t>075: Spices</t>
  </si>
  <si>
    <t xml:space="preserve">591: Insecticides, rodenticides, fungicides, herbicides, anti-sprouting products and plant-growth regulators, disinfectants ad similar products, </t>
  </si>
  <si>
    <t>892: Printed matter</t>
  </si>
  <si>
    <t>073: Chocolate and other food preparations containing cocoa, n.e.s.</t>
  </si>
  <si>
    <t>884: Optical goods, n.e.s.</t>
  </si>
  <si>
    <t>593: Explosives and pyrotechnic products</t>
  </si>
  <si>
    <t>551: Essential oils, perfume and flavour materials</t>
  </si>
  <si>
    <t>721: Agricultural machinery (excluding tractors) and parts thereof</t>
  </si>
  <si>
    <t>894: Baby carriages, toys, games and sporting goods</t>
  </si>
  <si>
    <t xml:space="preserve">761: Monitors and projectors, not incorporating television reception apparatus; reception apparatus for television, </t>
  </si>
  <si>
    <t>665: Glassware</t>
  </si>
  <si>
    <t>524: Other inorganic chemicals; organic and inorganic compounds of precious metals</t>
  </si>
  <si>
    <t>581: Tubes, pipes and hoses, and fittings therefor, of plastics</t>
  </si>
  <si>
    <t>716: Rotating electric plant and parts thereof, n.e.s.</t>
  </si>
  <si>
    <t>122: Tobacco, manufactured (whether or not containing tobacco substitutes)</t>
  </si>
  <si>
    <t xml:space="preserve">059: Fruit juices (including grape must) and vegetable juices, unfermented and not containing added spirit, </t>
  </si>
  <si>
    <t>741: Heating and cooling equipment and parts thereof, n.e.s.</t>
  </si>
  <si>
    <t>771: Electric power machinery (other than rotating electric plant of group 716) and parts thereof</t>
  </si>
  <si>
    <t>694: Nails, screws, nuts, bolts, rivets and the like, of iron, steel, copper or aluminium</t>
  </si>
  <si>
    <t>571: Polymers of ethylene, in primary forms</t>
  </si>
  <si>
    <t>682: Copper</t>
  </si>
  <si>
    <t>695: Tools for use in the hand or in machines</t>
  </si>
  <si>
    <t xml:space="preserve">054: Vegetables, fresh, chilled, frozen or simply preserved (including dried leguminous vegetables); </t>
  </si>
  <si>
    <t>012: Other meat and edible meat offal, fresh, chilled or frozen (except meat and meat offal unfit or unsuitable for human consumption)</t>
  </si>
  <si>
    <t>629: Articles of rubber, n.e.s.</t>
  </si>
  <si>
    <t>783: Road motor vehicles, n.e.s.</t>
  </si>
  <si>
    <t>751: Office machines</t>
  </si>
  <si>
    <t>786: Trailers and semi-trailers; other vehicles, not mechanically-propelled; specially designed and equipped transport containers</t>
  </si>
  <si>
    <t>056: Vegetables, roots and tubers, prepared or preserved, n.e.s.</t>
  </si>
  <si>
    <t xml:space="preserve">842: Women's or girls' coats, capes, jackets, suits, trousers, shorts, shirts, dresses and skirts, underwear, nightwear and similar articles of textile fabrics, </t>
  </si>
  <si>
    <t>841: Men's or boys' coats, capes, jackets, suits, blazers, trousers, shorts, shirts, underwear, nightwear and similar articles of textile fabrics,</t>
  </si>
  <si>
    <t>598: Miscellaneous chemical products, n.e.s.</t>
  </si>
  <si>
    <t>062: Sugar confectionery</t>
  </si>
  <si>
    <t>747: Taps, cocks, valves and similar appliances for pipes, boiler shells, tanks, vats or the like, including pressure-reducing valves and thermostatically controlled valves</t>
  </si>
  <si>
    <t>691: Structures and parts of structures, n.e.s., of iron, steel or aluminium</t>
  </si>
  <si>
    <t>022: Milk and cream and milk products other than butter or cheese</t>
  </si>
  <si>
    <t>722: Tractors (other than those of headings 744.14 and 744.15)</t>
  </si>
  <si>
    <t xml:space="preserve">748: Transmission shafts (including camshafts and crankshafts) and cranks; bearing housings and plain shaft bearings; gears and gearing; </t>
  </si>
  <si>
    <t>899: Miscellaneous manufactured articles, n.e.s.</t>
  </si>
  <si>
    <t>851: Footwear</t>
  </si>
  <si>
    <t>742: Pumps for liquids, whether or not fitted with a measuring device; liquid elevators; parts for such pumps and liquid elevators</t>
  </si>
  <si>
    <t xml:space="preserve">772: Electrical apparatus for switching or protecting electrical circuits or for making connections to or in electrical circuits </t>
  </si>
  <si>
    <t>658: Made-up articles, wholly or chiefly of textile materials, n.e.s.</t>
  </si>
  <si>
    <t>674: Flat-rolled products of iron or non-alloy steel, clad, plated or coated</t>
  </si>
  <si>
    <t>575: Other plastics, in primary forms</t>
  </si>
  <si>
    <t>699: Manufactures of base metal, n.e.s.</t>
  </si>
  <si>
    <t>744: Mechanical handling equipment and parts thereof, n.e.s.</t>
  </si>
  <si>
    <t>872: Instruments and appliances, n.e.s., for medical, surgical, dental or veterinary purposes</t>
  </si>
  <si>
    <t>111: Non-alcoholic beverages, n.e.s.</t>
  </si>
  <si>
    <t>081: Feeding stuff for animals (not including unmilled cereals)</t>
  </si>
  <si>
    <t>745: Non-electrical machinery, tools and mechanical apparatus and parts thereof, n.e.s.</t>
  </si>
  <si>
    <t>874: Measuring, checking, analysing and controlling instruments and apparatus, n.e.s.</t>
  </si>
  <si>
    <t>821: Furniture and parts thereof; bedding, mattresses, mattress supports, cushions and similar stuffed furnishings</t>
  </si>
  <si>
    <t>523: Salts and peroxysalts, of inorganic acids and metals</t>
  </si>
  <si>
    <t>713: Internal combustion piston engines and parts thereof, n.e.s.</t>
  </si>
  <si>
    <t>775: Household-type electrical and non-electrical equipment, n.e.s.</t>
  </si>
  <si>
    <t>098: Edible products and preparations, n.e.s.</t>
  </si>
  <si>
    <t>421: Fixed vegetable fats and oils, 'soft', crude, refined or fractionated</t>
  </si>
  <si>
    <t>335: Residual petroleum products, n.e.s., and related materials</t>
  </si>
  <si>
    <t>773: Equipment for distributing electricity, n.e.s.</t>
  </si>
  <si>
    <t>554: Soap, cleansing and polishing preparations</t>
  </si>
  <si>
    <t>893: Articles, n.e.s., of plastics</t>
  </si>
  <si>
    <t>625: Rubber tyres, interchangeable tyre treads, tyre flaps and inner tubes for wheels of all kinds</t>
  </si>
  <si>
    <t>048: Cereal preparations and preparations of flour or starch of fruits or vegetables</t>
  </si>
  <si>
    <t>845: Articles of apparel, of textile fabrics, whether or not knitted or crocheted, n.e.s.</t>
  </si>
  <si>
    <t>642: Paper and paperboard, cut to size or shape, and articles of paper or paperboard</t>
  </si>
  <si>
    <t>641: Paper and paperboard</t>
  </si>
  <si>
    <t>728: Other machinery and equipment specialized for particular industries; parts thereof, n.e.s.</t>
  </si>
  <si>
    <t>522: Inorganic chemical elements, oxides and halogen salts</t>
  </si>
  <si>
    <t>752: Automatic data-processing machines and units thereof; magnetic or optical readers, machines for transcribing data onto data media in coded form and machines for processing such data, n.e.s.</t>
  </si>
  <si>
    <t xml:space="preserve">776: Thermionic, cold cathode or photo-cathode valves and tubes (e.g., vacuum or vapour or gas-filled valves and tubes, mercury arc rectifying valves and tubes, </t>
  </si>
  <si>
    <t>044: Maize (not including sweet corn), unmilled</t>
  </si>
  <si>
    <t>061: Sugars, molasses and honey</t>
  </si>
  <si>
    <t>541: Medicinal and pharmaceutical products, other than medicaments of group 542</t>
  </si>
  <si>
    <t>553: Perfumery, cosmetic or toilet preparations (excluding soaps)</t>
  </si>
  <si>
    <t>784: Parts and accessories of the motor vehicles of groups 722, 781, 782 and 783</t>
  </si>
  <si>
    <t>284: Nickel ores and concentrates; nickel mattes, nickel oxide sinters and other intermediate products of nickel metallurgy</t>
  </si>
  <si>
    <t>764: Telecommunications equipment, n.e.s., and parts, n.e.s., and accessories of apparatus falling within division 76</t>
  </si>
  <si>
    <t>112: Alcoholic beverages</t>
  </si>
  <si>
    <t>778: Electrical machinery and apparatus,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</si>
  <si>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</si>
  <si>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542: Medicaments (including veterinary medicaments)</t>
  </si>
  <si>
    <t>723: Civil engineering and contractors' plant and equipment; parts thereof</t>
  </si>
  <si>
    <t>711: Steam or other vapour-generating boilers, superheated water boilers, and auxiliary plant for use therewith; parts thereof</t>
  </si>
  <si>
    <t>782: Motor vehicles for the transport of goods and special-purpose motor vehicles</t>
  </si>
  <si>
    <t xml:space="preserve">334: Petroleum oils and oils obtained from bituminous minerals (other than crude); preparations, n.e.s., </t>
  </si>
  <si>
    <t>212: Furskins, raw (including heads, tails, paws and other pieces or  cuttings, suitable for furriers’ use), other than hides and skins of group 211</t>
  </si>
  <si>
    <t>687: Tin</t>
  </si>
  <si>
    <t>121: Tobacco, unmanufactured; tobacco refuse</t>
  </si>
  <si>
    <t>285: Aluminium ores and concentrates (including alumina)</t>
  </si>
  <si>
    <t>351: Electric current</t>
  </si>
  <si>
    <t>Table 20: Top 10 traded commodities, January 2026</t>
  </si>
  <si>
    <t>Table 11: Trade balance by Product (N$ m), Jan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</si>
</sst>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u/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61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0" fontId="3" fillId="3" borderId="0" xfId="282" applyFill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7" fillId="0" borderId="11" xfId="1" applyNumberFormat="1" applyFont="1" applyBorder="1"/>
    <xf numFmtId="165" fontId="5" fillId="0" borderId="4" xfId="1" applyNumberFormat="1" applyFont="1" applyBorder="1"/>
    <xf numFmtId="165" fontId="5" fillId="0" borderId="12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9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20" fillId="0" borderId="0" xfId="1" applyNumberFormat="1" applyFont="1"/>
    <xf numFmtId="168" fontId="5" fillId="0" borderId="3" xfId="1" applyNumberFormat="1" applyFont="1" applyFill="1" applyBorder="1"/>
    <xf numFmtId="168" fontId="5" fillId="6" borderId="17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0" borderId="16" xfId="1" applyNumberFormat="1" applyFont="1" applyBorder="1"/>
    <xf numFmtId="168" fontId="5" fillId="5" borderId="16" xfId="1" applyNumberFormat="1" applyFont="1" applyFill="1" applyBorder="1"/>
    <xf numFmtId="168" fontId="5" fillId="6" borderId="15" xfId="1" applyNumberFormat="1" applyFont="1" applyFill="1" applyBorder="1"/>
    <xf numFmtId="165" fontId="8" fillId="0" borderId="0" xfId="1" applyNumberFormat="1" applyFont="1"/>
    <xf numFmtId="0" fontId="7" fillId="2" borderId="0" xfId="0" applyFont="1" applyFill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5" fontId="5" fillId="0" borderId="12" xfId="0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5" fillId="0" borderId="0" xfId="0" applyFont="1" applyAlignment="1">
      <alignment horizontal="left"/>
    </xf>
    <xf numFmtId="168" fontId="5" fillId="6" borderId="4" xfId="1" applyNumberFormat="1" applyFont="1" applyFill="1" applyBorder="1"/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5" fillId="0" borderId="13" xfId="0" applyFont="1" applyBorder="1"/>
    <xf numFmtId="0" fontId="7" fillId="6" borderId="12" xfId="0" applyFont="1" applyFill="1" applyBorder="1"/>
    <xf numFmtId="165" fontId="7" fillId="6" borderId="4" xfId="0" applyNumberFormat="1" applyFont="1" applyFill="1" applyBorder="1"/>
    <xf numFmtId="165" fontId="5" fillId="6" borderId="15" xfId="1" applyNumberFormat="1" applyFont="1" applyFill="1" applyBorder="1"/>
    <xf numFmtId="165" fontId="5" fillId="0" borderId="16" xfId="1" applyNumberFormat="1" applyFont="1" applyBorder="1"/>
    <xf numFmtId="165" fontId="5" fillId="5" borderId="16" xfId="1" applyNumberFormat="1" applyFont="1" applyFill="1" applyBorder="1"/>
    <xf numFmtId="168" fontId="6" fillId="0" borderId="1" xfId="1" applyNumberFormat="1" applyFont="1" applyFill="1" applyBorder="1"/>
    <xf numFmtId="168" fontId="6" fillId="0" borderId="3" xfId="1" applyNumberFormat="1" applyFont="1" applyFill="1" applyBorder="1"/>
    <xf numFmtId="165" fontId="6" fillId="0" borderId="9" xfId="1" applyNumberFormat="1" applyFont="1" applyFill="1" applyBorder="1"/>
    <xf numFmtId="165" fontId="16" fillId="0" borderId="4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6" fontId="6" fillId="0" borderId="3" xfId="284" applyNumberFormat="1" applyFont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21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2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80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80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3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8" xfId="1" applyNumberFormat="1" applyFont="1" applyFill="1" applyBorder="1"/>
    <xf numFmtId="168" fontId="12" fillId="0" borderId="0" xfId="1" applyNumberFormat="1" applyFont="1"/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165" fontId="0" fillId="0" borderId="0" xfId="1" applyNumberFormat="1" applyFont="1"/>
    <xf numFmtId="165" fontId="8" fillId="4" borderId="2" xfId="1" applyNumberFormat="1" applyFont="1" applyFill="1" applyBorder="1" applyAlignment="1">
      <alignment vertical="center"/>
    </xf>
    <xf numFmtId="0" fontId="7" fillId="0" borderId="7" xfId="0" applyFont="1" applyBorder="1" applyAlignment="1">
      <alignment vertical="top" wrapText="1"/>
    </xf>
    <xf numFmtId="165" fontId="8" fillId="4" borderId="8" xfId="1" applyNumberFormat="1" applyFont="1" applyFill="1" applyBorder="1" applyAlignment="1">
      <alignment vertical="center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167" fontId="5" fillId="0" borderId="0" xfId="280" applyNumberFormat="1" applyFont="1" applyBorder="1"/>
    <xf numFmtId="167" fontId="5" fillId="0" borderId="0" xfId="0" applyNumberFormat="1" applyFont="1"/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9" xfId="1" applyNumberFormat="1" applyFont="1" applyBorder="1"/>
    <xf numFmtId="0" fontId="8" fillId="0" borderId="19" xfId="0" applyFont="1" applyBorder="1"/>
    <xf numFmtId="165" fontId="24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168" fontId="8" fillId="4" borderId="8" xfId="1" applyNumberFormat="1" applyFont="1" applyFill="1" applyBorder="1"/>
    <xf numFmtId="165" fontId="8" fillId="4" borderId="8" xfId="1" applyNumberFormat="1" applyFont="1" applyFill="1" applyBorder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9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4" fillId="0" borderId="0" xfId="0" applyFont="1"/>
    <xf numFmtId="0" fontId="24" fillId="0" borderId="0" xfId="285" applyFont="1"/>
    <xf numFmtId="0" fontId="24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5" fillId="0" borderId="4" xfId="1" applyNumberFormat="1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73" fontId="7" fillId="0" borderId="1" xfId="1" applyNumberFormat="1" applyFont="1" applyBorder="1"/>
    <xf numFmtId="165" fontId="8" fillId="5" borderId="1" xfId="1" applyNumberFormat="1" applyFont="1" applyFill="1" applyBorder="1" applyAlignment="1">
      <alignment horizontal="lef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0" fontId="8" fillId="0" borderId="2" xfId="0" applyFont="1" applyBorder="1"/>
    <xf numFmtId="168" fontId="5" fillId="5" borderId="3" xfId="1" applyNumberFormat="1" applyFont="1" applyFill="1" applyBorder="1"/>
    <xf numFmtId="168" fontId="5" fillId="0" borderId="11" xfId="1" applyNumberFormat="1" applyFont="1" applyFill="1" applyBorder="1"/>
    <xf numFmtId="168" fontId="5" fillId="0" borderId="3" xfId="1" applyNumberFormat="1" applyFont="1" applyBorder="1"/>
    <xf numFmtId="165" fontId="16" fillId="0" borderId="0" xfId="1" applyNumberFormat="1" applyFont="1"/>
    <xf numFmtId="165" fontId="22" fillId="0" borderId="0" xfId="1" applyNumberFormat="1" applyFont="1"/>
    <xf numFmtId="165" fontId="22" fillId="4" borderId="2" xfId="1" applyNumberFormat="1" applyFont="1" applyFill="1" applyBorder="1"/>
    <xf numFmtId="165" fontId="16" fillId="0" borderId="0" xfId="1" applyNumberFormat="1" applyFont="1" applyFill="1" applyBorder="1"/>
    <xf numFmtId="168" fontId="16" fillId="0" borderId="4" xfId="1" applyNumberFormat="1" applyFont="1" applyBorder="1" applyAlignment="1">
      <alignment vertical="top" wrapText="1"/>
    </xf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22" fillId="0" borderId="12" xfId="1" applyNumberFormat="1" applyFont="1" applyBorder="1"/>
    <xf numFmtId="165" fontId="22" fillId="0" borderId="4" xfId="1" applyNumberFormat="1" applyFont="1" applyBorder="1"/>
    <xf numFmtId="168" fontId="22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0" fontId="6" fillId="0" borderId="1" xfId="0" applyFont="1" applyBorder="1"/>
    <xf numFmtId="165" fontId="7" fillId="0" borderId="1" xfId="1" applyNumberFormat="1" applyFont="1" applyBorder="1" applyAlignment="1">
      <alignment horizontal="right"/>
    </xf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3" xfId="0" applyNumberFormat="1" applyFont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168" fontId="8" fillId="4" borderId="2" xfId="1" applyNumberFormat="1" applyFont="1" applyFill="1" applyBorder="1" applyAlignment="1">
      <alignment vertical="center"/>
    </xf>
    <xf numFmtId="165" fontId="8" fillId="4" borderId="12" xfId="1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0" fontId="8" fillId="4" borderId="13" xfId="0" applyFont="1" applyFill="1" applyBorder="1"/>
    <xf numFmtId="0" fontId="6" fillId="0" borderId="1" xfId="25" applyFont="1" applyBorder="1"/>
    <xf numFmtId="165" fontId="5" fillId="0" borderId="13" xfId="1" applyNumberFormat="1" applyFont="1" applyBorder="1"/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1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8" fontId="7" fillId="0" borderId="0" xfId="1" applyNumberFormat="1" applyFont="1" applyBorder="1" applyAlignment="1">
      <alignment vertical="top" wrapText="1"/>
    </xf>
    <xf numFmtId="165" fontId="16" fillId="0" borderId="0" xfId="1" applyNumberFormat="1" applyFont="1" applyAlignment="1"/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0" borderId="4" xfId="1" applyNumberFormat="1" applyFont="1" applyBorder="1" applyAlignment="1">
      <alignment vertical="top" wrapText="1"/>
    </xf>
    <xf numFmtId="165" fontId="16" fillId="6" borderId="1" xfId="1" applyNumberFormat="1" applyFont="1" applyFill="1" applyBorder="1"/>
    <xf numFmtId="0" fontId="7" fillId="0" borderId="4" xfId="0" applyFont="1" applyBorder="1" applyAlignment="1">
      <alignment vertical="top" wrapText="1"/>
    </xf>
    <xf numFmtId="165" fontId="7" fillId="0" borderId="0" xfId="0" applyNumberFormat="1" applyFont="1" applyAlignment="1">
      <alignment wrapText="1"/>
    </xf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0" fontId="7" fillId="0" borderId="12" xfId="0" applyFont="1" applyBorder="1" applyAlignment="1">
      <alignment vertical="top" wrapText="1"/>
    </xf>
    <xf numFmtId="168" fontId="16" fillId="0" borderId="19" xfId="1" applyNumberFormat="1" applyFont="1" applyBorder="1" applyAlignment="1">
      <alignment vertical="top" wrapText="1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5" fontId="16" fillId="0" borderId="3" xfId="1" applyNumberFormat="1" applyFont="1" applyBorder="1"/>
    <xf numFmtId="168" fontId="8" fillId="4" borderId="1" xfId="1" applyNumberFormat="1" applyFont="1" applyFill="1" applyBorder="1"/>
    <xf numFmtId="168" fontId="6" fillId="6" borderId="11" xfId="1" applyNumberFormat="1" applyFont="1" applyFill="1" applyBorder="1"/>
    <xf numFmtId="165" fontId="5" fillId="0" borderId="4" xfId="0" applyNumberFormat="1" applyFont="1" applyBorder="1"/>
    <xf numFmtId="165" fontId="5" fillId="0" borderId="2" xfId="0" applyNumberFormat="1" applyFont="1" applyBorder="1"/>
    <xf numFmtId="168" fontId="12" fillId="0" borderId="0" xfId="1" applyNumberFormat="1" applyFont="1" applyFill="1"/>
    <xf numFmtId="165" fontId="7" fillId="0" borderId="11" xfId="1" applyNumberFormat="1" applyFont="1" applyFill="1" applyBorder="1" applyAlignment="1"/>
    <xf numFmtId="165" fontId="7" fillId="0" borderId="11" xfId="1" applyNumberFormat="1" applyFont="1" applyBorder="1" applyAlignment="1">
      <alignment horizontal="right"/>
    </xf>
    <xf numFmtId="168" fontId="5" fillId="0" borderId="1" xfId="0" applyNumberFormat="1" applyFont="1" applyBorder="1"/>
    <xf numFmtId="165" fontId="6" fillId="0" borderId="5" xfId="1" applyNumberFormat="1" applyFont="1" applyBorder="1"/>
    <xf numFmtId="168" fontId="7" fillId="0" borderId="3" xfId="1" applyNumberFormat="1" applyFont="1" applyFill="1" applyBorder="1"/>
    <xf numFmtId="0" fontId="8" fillId="0" borderId="6" xfId="0" applyFont="1" applyBorder="1"/>
    <xf numFmtId="0" fontId="7" fillId="0" borderId="12" xfId="0" applyFont="1" applyBorder="1" applyAlignment="1">
      <alignment vertical="top"/>
    </xf>
    <xf numFmtId="0" fontId="7" fillId="0" borderId="2" xfId="0" applyFont="1" applyBorder="1" applyAlignment="1">
      <alignment vertical="top" wrapText="1"/>
    </xf>
    <xf numFmtId="165" fontId="7" fillId="0" borderId="2" xfId="1" applyNumberFormat="1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165" fontId="7" fillId="0" borderId="4" xfId="1" applyNumberFormat="1" applyFont="1" applyBorder="1" applyAlignment="1">
      <alignment vertical="top" wrapText="1"/>
    </xf>
    <xf numFmtId="49" fontId="8" fillId="4" borderId="18" xfId="0" applyNumberFormat="1" applyFont="1" applyFill="1" applyBorder="1" applyAlignment="1">
      <alignment vertical="center"/>
    </xf>
    <xf numFmtId="49" fontId="6" fillId="6" borderId="3" xfId="0" applyNumberFormat="1" applyFont="1" applyFill="1" applyBorder="1" applyAlignment="1">
      <alignment vertical="center"/>
    </xf>
    <xf numFmtId="165" fontId="6" fillId="6" borderId="3" xfId="1" applyNumberFormat="1" applyFont="1" applyFill="1" applyBorder="1" applyAlignment="1">
      <alignment vertical="center"/>
    </xf>
    <xf numFmtId="49" fontId="5" fillId="0" borderId="0" xfId="0" applyNumberFormat="1" applyFont="1"/>
    <xf numFmtId="0" fontId="8" fillId="2" borderId="1" xfId="0" applyFont="1" applyFill="1" applyBorder="1"/>
    <xf numFmtId="165" fontId="8" fillId="2" borderId="5" xfId="1" applyNumberFormat="1" applyFont="1" applyFill="1" applyBorder="1"/>
    <xf numFmtId="165" fontId="7" fillId="0" borderId="11" xfId="1" applyNumberFormat="1" applyFont="1" applyBorder="1" applyAlignment="1">
      <alignment vertical="top" wrapText="1"/>
    </xf>
    <xf numFmtId="165" fontId="7" fillId="0" borderId="19" xfId="1" applyNumberFormat="1" applyFont="1" applyBorder="1" applyAlignment="1">
      <alignment vertical="top" wrapText="1"/>
    </xf>
    <xf numFmtId="49" fontId="6" fillId="4" borderId="5" xfId="0" applyNumberFormat="1" applyFont="1" applyFill="1" applyBorder="1" applyAlignment="1">
      <alignment vertical="center"/>
    </xf>
    <xf numFmtId="49" fontId="6" fillId="0" borderId="3" xfId="0" applyNumberFormat="1" applyFont="1" applyBorder="1"/>
    <xf numFmtId="49" fontId="6" fillId="0" borderId="1" xfId="0" applyNumberFormat="1" applyFont="1" applyBorder="1"/>
    <xf numFmtId="49" fontId="6" fillId="0" borderId="0" xfId="0" applyNumberFormat="1" applyFont="1"/>
    <xf numFmtId="165" fontId="24" fillId="0" borderId="0" xfId="1" applyNumberFormat="1" applyFont="1"/>
    <xf numFmtId="0" fontId="24" fillId="0" borderId="2" xfId="0" applyFont="1" applyBorder="1"/>
    <xf numFmtId="165" fontId="24" fillId="0" borderId="2" xfId="1" applyNumberFormat="1" applyFont="1" applyBorder="1"/>
    <xf numFmtId="0" fontId="24" fillId="0" borderId="4" xfId="0" applyFont="1" applyBorder="1"/>
    <xf numFmtId="165" fontId="24" fillId="0" borderId="4" xfId="1" applyNumberFormat="1" applyFont="1" applyBorder="1"/>
    <xf numFmtId="0" fontId="24" fillId="0" borderId="3" xfId="0" applyFont="1" applyBorder="1"/>
    <xf numFmtId="165" fontId="24" fillId="0" borderId="3" xfId="1" applyNumberFormat="1" applyFont="1" applyBorder="1"/>
    <xf numFmtId="49" fontId="9" fillId="0" borderId="0" xfId="282" applyNumberFormat="1" applyFont="1" applyFill="1" applyAlignment="1"/>
    <xf numFmtId="49" fontId="5" fillId="0" borderId="0" xfId="1" applyNumberFormat="1" applyFont="1"/>
    <xf numFmtId="0" fontId="24" fillId="0" borderId="12" xfId="0" applyFont="1" applyBorder="1"/>
    <xf numFmtId="0" fontId="24" fillId="0" borderId="4" xfId="0" applyFont="1" applyBorder="1" applyAlignment="1">
      <alignment vertical="top"/>
    </xf>
    <xf numFmtId="165" fontId="8" fillId="4" borderId="13" xfId="1" applyNumberFormat="1" applyFont="1" applyFill="1" applyBorder="1"/>
    <xf numFmtId="165" fontId="7" fillId="0" borderId="0" xfId="1" applyNumberFormat="1" applyFont="1" applyAlignment="1">
      <alignment horizontal="left"/>
    </xf>
    <xf numFmtId="43" fontId="5" fillId="0" borderId="0" xfId="1" applyFont="1" applyAlignment="1">
      <alignment vertical="top"/>
    </xf>
    <xf numFmtId="43" fontId="5" fillId="0" borderId="0" xfId="1" applyFont="1" applyAlignment="1">
      <alignment vertical="top" wrapText="1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0" fontId="24" fillId="0" borderId="2" xfId="0" applyFont="1" applyBorder="1" applyAlignment="1">
      <alignment wrapText="1"/>
    </xf>
    <xf numFmtId="165" fontId="24" fillId="0" borderId="2" xfId="1" applyNumberFormat="1" applyFont="1" applyBorder="1" applyAlignment="1">
      <alignment wrapText="1"/>
    </xf>
    <xf numFmtId="0" fontId="24" fillId="0" borderId="4" xfId="0" applyFont="1" applyBorder="1" applyAlignment="1">
      <alignment wrapText="1"/>
    </xf>
    <xf numFmtId="165" fontId="24" fillId="0" borderId="4" xfId="1" applyNumberFormat="1" applyFont="1" applyBorder="1" applyAlignment="1">
      <alignment wrapText="1"/>
    </xf>
    <xf numFmtId="0" fontId="24" fillId="0" borderId="4" xfId="0" applyFont="1" applyBorder="1" applyAlignment="1">
      <alignment vertical="center"/>
    </xf>
    <xf numFmtId="165" fontId="24" fillId="0" borderId="3" xfId="1" applyNumberFormat="1" applyFont="1" applyBorder="1" applyAlignment="1">
      <alignment wrapText="1"/>
    </xf>
    <xf numFmtId="165" fontId="16" fillId="0" borderId="4" xfId="0" applyNumberFormat="1" applyFont="1" applyBorder="1" applyAlignment="1">
      <alignment horizontal="left"/>
    </xf>
    <xf numFmtId="165" fontId="24" fillId="6" borderId="2" xfId="1" applyNumberFormat="1" applyFont="1" applyFill="1" applyBorder="1"/>
    <xf numFmtId="165" fontId="24" fillId="6" borderId="4" xfId="1" applyNumberFormat="1" applyFont="1" applyFill="1" applyBorder="1"/>
    <xf numFmtId="165" fontId="24" fillId="6" borderId="3" xfId="1" applyNumberFormat="1" applyFont="1" applyFill="1" applyBorder="1"/>
    <xf numFmtId="165" fontId="8" fillId="0" borderId="11" xfId="2795" applyNumberFormat="1" applyFont="1" applyFill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8" fillId="5" borderId="3" xfId="2" applyNumberFormat="1" applyFont="1" applyFill="1" applyBorder="1" applyAlignment="1"/>
    <xf numFmtId="165" fontId="7" fillId="0" borderId="19" xfId="1" applyNumberFormat="1" applyFont="1" applyFill="1" applyBorder="1" applyAlignment="1"/>
    <xf numFmtId="165" fontId="7" fillId="0" borderId="7" xfId="0" applyNumberFormat="1" applyFont="1" applyBorder="1"/>
    <xf numFmtId="0" fontId="7" fillId="0" borderId="7" xfId="0" applyFont="1" applyBorder="1"/>
    <xf numFmtId="165" fontId="7" fillId="6" borderId="11" xfId="1" applyNumberFormat="1" applyFont="1" applyFill="1" applyBorder="1"/>
    <xf numFmtId="0" fontId="8" fillId="0" borderId="26" xfId="0" applyFont="1" applyBorder="1"/>
    <xf numFmtId="165" fontId="8" fillId="0" borderId="26" xfId="0" applyNumberFormat="1" applyFont="1" applyBorder="1"/>
    <xf numFmtId="165" fontId="8" fillId="0" borderId="25" xfId="0" applyNumberFormat="1" applyFont="1" applyBorder="1"/>
    <xf numFmtId="11" fontId="5" fillId="0" borderId="0" xfId="0" applyNumberFormat="1" applyFont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0" fontId="7" fillId="0" borderId="0" xfId="0" applyFont="1" applyAlignment="1">
      <alignment horizontal="left"/>
    </xf>
    <xf numFmtId="165" fontId="18" fillId="6" borderId="3" xfId="2795" applyNumberFormat="1" applyFont="1" applyFill="1" applyBorder="1" applyAlignment="1"/>
    <xf numFmtId="165" fontId="25" fillId="6" borderId="12" xfId="1" applyNumberFormat="1" applyFont="1" applyFill="1" applyBorder="1" applyAlignment="1"/>
    <xf numFmtId="165" fontId="25" fillId="6" borderId="4" xfId="1" applyNumberFormat="1" applyFont="1" applyFill="1" applyBorder="1" applyAlignment="1"/>
    <xf numFmtId="165" fontId="8" fillId="0" borderId="11" xfId="1" applyNumberFormat="1" applyFont="1" applyFill="1" applyBorder="1" applyAlignment="1"/>
    <xf numFmtId="0" fontId="8" fillId="4" borderId="5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/>
    </xf>
    <xf numFmtId="168" fontId="5" fillId="0" borderId="3" xfId="1" applyNumberFormat="1" applyFont="1" applyBorder="1" applyAlignment="1">
      <alignment horizontal="right"/>
    </xf>
    <xf numFmtId="0" fontId="8" fillId="4" borderId="5" xfId="0" applyFont="1" applyFill="1" applyBorder="1" applyAlignment="1">
      <alignment vertical="center"/>
    </xf>
    <xf numFmtId="168" fontId="16" fillId="0" borderId="2" xfId="1" applyNumberFormat="1" applyFont="1" applyBorder="1" applyAlignment="1">
      <alignment vertical="top" wrapText="1"/>
    </xf>
    <xf numFmtId="168" fontId="16" fillId="0" borderId="2" xfId="1" applyNumberFormat="1" applyFont="1" applyBorder="1" applyAlignment="1">
      <alignment vertical="center" wrapText="1"/>
    </xf>
    <xf numFmtId="168" fontId="16" fillId="0" borderId="4" xfId="1" applyNumberFormat="1" applyFont="1" applyBorder="1" applyAlignment="1">
      <alignment vertical="center" wrapText="1"/>
    </xf>
    <xf numFmtId="0" fontId="24" fillId="0" borderId="3" xfId="0" applyFont="1" applyBorder="1" applyAlignment="1">
      <alignment vertical="top"/>
    </xf>
    <xf numFmtId="165" fontId="24" fillId="0" borderId="8" xfId="1" applyNumberFormat="1" applyFont="1" applyBorder="1"/>
    <xf numFmtId="165" fontId="24" fillId="0" borderId="11" xfId="1" applyNumberFormat="1" applyFont="1" applyBorder="1"/>
    <xf numFmtId="165" fontId="24" fillId="0" borderId="19" xfId="1" applyNumberFormat="1" applyFont="1" applyBorder="1"/>
    <xf numFmtId="168" fontId="16" fillId="0" borderId="3" xfId="1" applyNumberFormat="1" applyFont="1" applyBorder="1" applyAlignment="1">
      <alignment vertical="center" wrapText="1"/>
    </xf>
    <xf numFmtId="165" fontId="24" fillId="0" borderId="11" xfId="1" applyNumberFormat="1" applyFont="1" applyBorder="1" applyAlignment="1">
      <alignment vertical="top"/>
    </xf>
    <xf numFmtId="165" fontId="24" fillId="0" borderId="19" xfId="1" applyNumberFormat="1" applyFont="1" applyBorder="1" applyAlignment="1">
      <alignment vertical="top"/>
    </xf>
    <xf numFmtId="0" fontId="24" fillId="0" borderId="6" xfId="0" applyFont="1" applyBorder="1"/>
    <xf numFmtId="0" fontId="24" fillId="0" borderId="13" xfId="0" applyFont="1" applyBorder="1"/>
    <xf numFmtId="168" fontId="16" fillId="0" borderId="3" xfId="1" applyNumberFormat="1" applyFont="1" applyBorder="1" applyAlignment="1">
      <alignment vertical="top" wrapText="1"/>
    </xf>
    <xf numFmtId="168" fontId="16" fillId="0" borderId="2" xfId="1" applyNumberFormat="1" applyFont="1" applyBorder="1"/>
    <xf numFmtId="168" fontId="16" fillId="0" borderId="3" xfId="1" applyNumberFormat="1" applyFont="1" applyBorder="1"/>
    <xf numFmtId="0" fontId="8" fillId="7" borderId="2" xfId="0" applyFont="1" applyFill="1" applyBorder="1"/>
    <xf numFmtId="165" fontId="16" fillId="6" borderId="2" xfId="1" applyNumberFormat="1" applyFont="1" applyFill="1" applyBorder="1"/>
    <xf numFmtId="0" fontId="8" fillId="5" borderId="7" xfId="0" applyFont="1" applyFill="1" applyBorder="1" applyAlignment="1">
      <alignment horizontal="center" vertical="center" wrapText="1"/>
    </xf>
    <xf numFmtId="0" fontId="24" fillId="6" borderId="2" xfId="0" applyFont="1" applyFill="1" applyBorder="1"/>
    <xf numFmtId="168" fontId="24" fillId="6" borderId="2" xfId="1" applyNumberFormat="1" applyFont="1" applyFill="1" applyBorder="1"/>
    <xf numFmtId="168" fontId="24" fillId="0" borderId="4" xfId="1" applyNumberFormat="1" applyFont="1" applyBorder="1"/>
    <xf numFmtId="0" fontId="24" fillId="6" borderId="4" xfId="0" applyFont="1" applyFill="1" applyBorder="1"/>
    <xf numFmtId="168" fontId="24" fillId="6" borderId="4" xfId="1" applyNumberFormat="1" applyFont="1" applyFill="1" applyBorder="1"/>
    <xf numFmtId="0" fontId="24" fillId="6" borderId="3" xfId="0" applyFont="1" applyFill="1" applyBorder="1"/>
    <xf numFmtId="168" fontId="24" fillId="6" borderId="3" xfId="1" applyNumberFormat="1" applyFont="1" applyFill="1" applyBorder="1"/>
    <xf numFmtId="168" fontId="24" fillId="0" borderId="3" xfId="1" applyNumberFormat="1" applyFont="1" applyBorder="1"/>
    <xf numFmtId="0" fontId="25" fillId="6" borderId="1" xfId="0" applyFont="1" applyFill="1" applyBorder="1"/>
    <xf numFmtId="165" fontId="25" fillId="6" borderId="1" xfId="1" applyNumberFormat="1" applyFont="1" applyFill="1" applyBorder="1"/>
    <xf numFmtId="49" fontId="8" fillId="6" borderId="3" xfId="1" applyNumberFormat="1" applyFont="1" applyFill="1" applyBorder="1" applyAlignment="1">
      <alignment horizontal="center" vertical="center"/>
    </xf>
    <xf numFmtId="43" fontId="5" fillId="0" borderId="2" xfId="1" applyFont="1" applyBorder="1" applyAlignment="1">
      <alignment horizontal="left"/>
    </xf>
    <xf numFmtId="43" fontId="5" fillId="0" borderId="4" xfId="1" applyFont="1" applyBorder="1" applyAlignment="1">
      <alignment horizontal="left"/>
    </xf>
    <xf numFmtId="165" fontId="5" fillId="0" borderId="6" xfId="0" applyNumberFormat="1" applyFont="1" applyBorder="1"/>
    <xf numFmtId="0" fontId="6" fillId="0" borderId="12" xfId="0" applyFont="1" applyBorder="1" applyAlignment="1">
      <alignment horizontal="left"/>
    </xf>
    <xf numFmtId="43" fontId="5" fillId="6" borderId="16" xfId="1" applyFont="1" applyFill="1" applyBorder="1" applyAlignment="1">
      <alignment horizontal="left"/>
    </xf>
    <xf numFmtId="165" fontId="5" fillId="6" borderId="27" xfId="0" applyNumberFormat="1" applyFont="1" applyFill="1" applyBorder="1"/>
    <xf numFmtId="165" fontId="5" fillId="6" borderId="16" xfId="0" applyNumberFormat="1" applyFont="1" applyFill="1" applyBorder="1"/>
    <xf numFmtId="43" fontId="5" fillId="0" borderId="16" xfId="1" applyFont="1" applyBorder="1" applyAlignment="1">
      <alignment horizontal="left"/>
    </xf>
    <xf numFmtId="165" fontId="5" fillId="0" borderId="27" xfId="0" applyNumberFormat="1" applyFont="1" applyBorder="1"/>
    <xf numFmtId="165" fontId="5" fillId="0" borderId="16" xfId="0" applyNumberFormat="1" applyFont="1" applyBorder="1"/>
    <xf numFmtId="43" fontId="5" fillId="6" borderId="14" xfId="1" applyFont="1" applyFill="1" applyBorder="1" applyAlignment="1">
      <alignment horizontal="left"/>
    </xf>
    <xf numFmtId="165" fontId="5" fillId="6" borderId="28" xfId="0" applyNumberFormat="1" applyFont="1" applyFill="1" applyBorder="1"/>
    <xf numFmtId="165" fontId="5" fillId="6" borderId="14" xfId="0" applyNumberFormat="1" applyFont="1" applyFill="1" applyBorder="1"/>
    <xf numFmtId="43" fontId="6" fillId="0" borderId="1" xfId="1" applyFont="1" applyBorder="1" applyAlignment="1">
      <alignment horizontal="left"/>
    </xf>
    <xf numFmtId="165" fontId="6" fillId="0" borderId="5" xfId="0" applyNumberFormat="1" applyFont="1" applyBorder="1"/>
    <xf numFmtId="165" fontId="6" fillId="0" borderId="1" xfId="0" applyNumberFormat="1" applyFont="1" applyBorder="1"/>
    <xf numFmtId="168" fontId="5" fillId="6" borderId="16" xfId="1" applyNumberFormat="1" applyFont="1" applyFill="1" applyBorder="1" applyAlignment="1">
      <alignment horizontal="left"/>
    </xf>
    <xf numFmtId="168" fontId="5" fillId="0" borderId="16" xfId="1" applyNumberFormat="1" applyFont="1" applyBorder="1" applyAlignment="1">
      <alignment horizontal="left"/>
    </xf>
    <xf numFmtId="168" fontId="5" fillId="6" borderId="14" xfId="1" applyNumberFormat="1" applyFont="1" applyFill="1" applyBorder="1" applyAlignment="1">
      <alignment horizontal="left"/>
    </xf>
    <xf numFmtId="0" fontId="7" fillId="6" borderId="2" xfId="0" applyFont="1" applyFill="1" applyBorder="1"/>
    <xf numFmtId="168" fontId="16" fillId="6" borderId="2" xfId="1" applyNumberFormat="1" applyFont="1" applyFill="1" applyBorder="1"/>
    <xf numFmtId="168" fontId="16" fillId="0" borderId="4" xfId="1" applyNumberFormat="1" applyFont="1" applyBorder="1" applyAlignment="1">
      <alignment horizontal="left"/>
    </xf>
    <xf numFmtId="0" fontId="7" fillId="6" borderId="4" xfId="0" applyFont="1" applyFill="1" applyBorder="1"/>
    <xf numFmtId="168" fontId="16" fillId="6" borderId="4" xfId="1" applyNumberFormat="1" applyFont="1" applyFill="1" applyBorder="1" applyAlignment="1">
      <alignment horizontal="left"/>
    </xf>
    <xf numFmtId="168" fontId="16" fillId="6" borderId="4" xfId="1" applyNumberFormat="1" applyFont="1" applyFill="1" applyBorder="1"/>
    <xf numFmtId="0" fontId="18" fillId="0" borderId="0" xfId="0" applyFont="1"/>
    <xf numFmtId="0" fontId="8" fillId="6" borderId="3" xfId="0" applyFont="1" applyFill="1" applyBorder="1"/>
    <xf numFmtId="165" fontId="8" fillId="6" borderId="3" xfId="1" applyNumberFormat="1" applyFont="1" applyFill="1" applyBorder="1"/>
    <xf numFmtId="168" fontId="22" fillId="6" borderId="3" xfId="1" applyNumberFormat="1" applyFont="1" applyFill="1" applyBorder="1" applyAlignment="1">
      <alignment horizontal="left"/>
    </xf>
    <xf numFmtId="168" fontId="22" fillId="6" borderId="3" xfId="1" applyNumberFormat="1" applyFont="1" applyFill="1" applyBorder="1"/>
    <xf numFmtId="0" fontId="16" fillId="6" borderId="4" xfId="0" applyFont="1" applyFill="1" applyBorder="1"/>
    <xf numFmtId="165" fontId="22" fillId="6" borderId="3" xfId="1" applyNumberFormat="1" applyFont="1" applyFill="1" applyBorder="1"/>
    <xf numFmtId="168" fontId="6" fillId="0" borderId="2" xfId="1" applyNumberFormat="1" applyFont="1" applyBorder="1"/>
    <xf numFmtId="0" fontId="7" fillId="0" borderId="2" xfId="0" applyFont="1" applyBorder="1" applyAlignment="1">
      <alignment vertical="top"/>
    </xf>
    <xf numFmtId="165" fontId="7" fillId="0" borderId="2" xfId="1" applyNumberFormat="1" applyFont="1" applyFill="1" applyBorder="1" applyAlignment="1">
      <alignment vertical="top"/>
    </xf>
    <xf numFmtId="165" fontId="28" fillId="0" borderId="2" xfId="1" applyNumberFormat="1" applyFont="1" applyFill="1" applyBorder="1"/>
    <xf numFmtId="165" fontId="7" fillId="0" borderId="4" xfId="1" applyNumberFormat="1" applyFont="1" applyFill="1" applyBorder="1" applyAlignment="1">
      <alignment vertical="top"/>
    </xf>
    <xf numFmtId="165" fontId="28" fillId="0" borderId="4" xfId="1" applyNumberFormat="1" applyFont="1" applyFill="1" applyBorder="1"/>
    <xf numFmtId="0" fontId="7" fillId="0" borderId="3" xfId="0" applyFont="1" applyBorder="1" applyAlignment="1">
      <alignment vertical="top"/>
    </xf>
    <xf numFmtId="165" fontId="7" fillId="0" borderId="3" xfId="1" applyNumberFormat="1" applyFont="1" applyFill="1" applyBorder="1" applyAlignment="1">
      <alignment vertical="top"/>
    </xf>
    <xf numFmtId="165" fontId="28" fillId="0" borderId="3" xfId="1" applyNumberFormat="1" applyFont="1" applyFill="1" applyBorder="1"/>
    <xf numFmtId="165" fontId="24" fillId="0" borderId="2" xfId="1" applyNumberFormat="1" applyFont="1" applyFill="1" applyBorder="1"/>
    <xf numFmtId="165" fontId="24" fillId="0" borderId="4" xfId="1" applyNumberFormat="1" applyFont="1" applyFill="1" applyBorder="1"/>
    <xf numFmtId="165" fontId="24" fillId="0" borderId="3" xfId="1" applyNumberFormat="1" applyFont="1" applyFill="1" applyBorder="1"/>
    <xf numFmtId="165" fontId="0" fillId="0" borderId="2" xfId="1" applyNumberFormat="1" applyFont="1" applyBorder="1"/>
    <xf numFmtId="165" fontId="0" fillId="0" borderId="4" xfId="1" applyNumberFormat="1" applyFont="1" applyBorder="1"/>
    <xf numFmtId="165" fontId="28" fillId="0" borderId="2" xfId="1" applyNumberFormat="1" applyFont="1" applyBorder="1"/>
    <xf numFmtId="165" fontId="28" fillId="0" borderId="4" xfId="1" applyNumberFormat="1" applyFont="1" applyBorder="1"/>
    <xf numFmtId="165" fontId="28" fillId="0" borderId="3" xfId="1" applyNumberFormat="1" applyFont="1" applyBorder="1"/>
    <xf numFmtId="165" fontId="7" fillId="0" borderId="10" xfId="1" applyNumberFormat="1" applyFont="1" applyBorder="1"/>
    <xf numFmtId="168" fontId="7" fillId="0" borderId="1" xfId="1" applyNumberFormat="1" applyFont="1" applyFill="1" applyBorder="1"/>
    <xf numFmtId="165" fontId="7" fillId="0" borderId="1" xfId="1" applyNumberFormat="1" applyFont="1" applyBorder="1"/>
    <xf numFmtId="0" fontId="28" fillId="0" borderId="2" xfId="0" applyFont="1" applyBorder="1"/>
    <xf numFmtId="0" fontId="28" fillId="0" borderId="4" xfId="0" applyFont="1" applyBorder="1"/>
    <xf numFmtId="0" fontId="28" fillId="0" borderId="3" xfId="0" applyFont="1" applyBorder="1"/>
    <xf numFmtId="165" fontId="8" fillId="0" borderId="2" xfId="1" applyNumberFormat="1" applyFont="1" applyBorder="1" applyAlignment="1">
      <alignment horizontal="right"/>
    </xf>
    <xf numFmtId="168" fontId="8" fillId="0" borderId="2" xfId="1" applyNumberFormat="1" applyFont="1" applyBorder="1" applyAlignment="1">
      <alignment horizontal="right"/>
    </xf>
    <xf numFmtId="168" fontId="8" fillId="0" borderId="8" xfId="1" applyNumberFormat="1" applyFont="1" applyBorder="1" applyAlignment="1">
      <alignment horizontal="right"/>
    </xf>
    <xf numFmtId="0" fontId="7" fillId="0" borderId="6" xfId="0" applyFont="1" applyBorder="1" applyAlignment="1">
      <alignment vertical="top" wrapText="1"/>
    </xf>
    <xf numFmtId="165" fontId="7" fillId="0" borderId="8" xfId="1" applyNumberFormat="1" applyFont="1" applyFill="1" applyBorder="1" applyAlignment="1">
      <alignment vertical="top"/>
    </xf>
    <xf numFmtId="165" fontId="7" fillId="0" borderId="30" xfId="1" applyNumberFormat="1" applyFont="1" applyFill="1" applyBorder="1"/>
    <xf numFmtId="49" fontId="6" fillId="0" borderId="12" xfId="0" applyNumberFormat="1" applyFont="1" applyBorder="1" applyAlignment="1">
      <alignment vertical="center"/>
    </xf>
    <xf numFmtId="165" fontId="6" fillId="0" borderId="30" xfId="1" applyNumberFormat="1" applyFont="1" applyFill="1" applyBorder="1" applyAlignment="1">
      <alignment vertical="center"/>
    </xf>
    <xf numFmtId="165" fontId="7" fillId="0" borderId="0" xfId="1" applyNumberFormat="1" applyFont="1" applyBorder="1" applyAlignment="1">
      <alignment vertical="top" wrapText="1"/>
    </xf>
    <xf numFmtId="165" fontId="7" fillId="0" borderId="8" xfId="1" applyNumberFormat="1" applyFont="1" applyBorder="1" applyAlignment="1">
      <alignment vertical="top"/>
    </xf>
    <xf numFmtId="165" fontId="7" fillId="0" borderId="11" xfId="1" applyNumberFormat="1" applyFont="1" applyBorder="1" applyAlignment="1">
      <alignment vertical="top"/>
    </xf>
    <xf numFmtId="165" fontId="6" fillId="0" borderId="19" xfId="1" applyNumberFormat="1" applyFont="1" applyBorder="1" applyAlignment="1"/>
    <xf numFmtId="165" fontId="6" fillId="0" borderId="1" xfId="1" applyNumberFormat="1" applyFont="1" applyBorder="1" applyAlignment="1"/>
    <xf numFmtId="165" fontId="7" fillId="0" borderId="0" xfId="1" applyNumberFormat="1" applyFont="1" applyAlignment="1">
      <alignment horizontal="right"/>
    </xf>
    <xf numFmtId="165" fontId="0" fillId="0" borderId="19" xfId="1" applyNumberFormat="1" applyFont="1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168" fontId="7" fillId="0" borderId="8" xfId="1" applyNumberFormat="1" applyFont="1" applyFill="1" applyBorder="1"/>
    <xf numFmtId="168" fontId="7" fillId="0" borderId="11" xfId="1" applyNumberFormat="1" applyFont="1" applyFill="1" applyBorder="1"/>
    <xf numFmtId="168" fontId="7" fillId="0" borderId="0" xfId="1" applyNumberFormat="1" applyFont="1" applyFill="1" applyBorder="1"/>
    <xf numFmtId="165" fontId="7" fillId="0" borderId="18" xfId="1" applyNumberFormat="1" applyFont="1" applyBorder="1"/>
    <xf numFmtId="165" fontId="7" fillId="0" borderId="7" xfId="1" applyNumberFormat="1" applyFont="1" applyBorder="1"/>
    <xf numFmtId="168" fontId="7" fillId="0" borderId="19" xfId="1" applyNumberFormat="1" applyFont="1" applyFill="1" applyBorder="1"/>
    <xf numFmtId="165" fontId="5" fillId="0" borderId="1" xfId="0" applyNumberFormat="1" applyFon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  <xf numFmtId="168" fontId="7" fillId="0" borderId="0" xfId="1" applyNumberFormat="1" applyFont="1" applyFill="1"/>
    <xf numFmtId="168" fontId="8" fillId="0" borderId="0" xfId="1" applyNumberFormat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168" fontId="7" fillId="0" borderId="4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/>
    </xf>
    <xf numFmtId="168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0" fontId="8" fillId="5" borderId="3" xfId="0" applyFont="1" applyFill="1" applyBorder="1"/>
    <xf numFmtId="165" fontId="8" fillId="5" borderId="3" xfId="0" applyNumberFormat="1" applyFont="1" applyFill="1" applyBorder="1"/>
    <xf numFmtId="168" fontId="8" fillId="5" borderId="3" xfId="1" applyNumberFormat="1" applyFont="1" applyFill="1" applyBorder="1"/>
    <xf numFmtId="168" fontId="8" fillId="6" borderId="3" xfId="1" applyNumberFormat="1" applyFont="1" applyFill="1" applyBorder="1"/>
    <xf numFmtId="168" fontId="6" fillId="0" borderId="3" xfId="1" applyNumberFormat="1" applyFont="1" applyBorder="1" applyAlignment="1">
      <alignment horizontal="right"/>
    </xf>
    <xf numFmtId="0" fontId="27" fillId="0" borderId="0" xfId="282" applyFont="1" applyAlignment="1"/>
    <xf numFmtId="165" fontId="5" fillId="0" borderId="4" xfId="1" applyNumberFormat="1" applyFont="1" applyBorder="1" applyAlignment="1"/>
    <xf numFmtId="165" fontId="5" fillId="0" borderId="4" xfId="1" applyNumberFormat="1" applyFont="1" applyBorder="1" applyAlignment="1">
      <alignment vertical="top"/>
    </xf>
    <xf numFmtId="168" fontId="5" fillId="6" borderId="29" xfId="1" applyNumberFormat="1" applyFont="1" applyFill="1" applyBorder="1"/>
    <xf numFmtId="168" fontId="5" fillId="0" borderId="31" xfId="1" applyNumberFormat="1" applyFont="1" applyBorder="1"/>
    <xf numFmtId="168" fontId="5" fillId="5" borderId="31" xfId="1" applyNumberFormat="1" applyFont="1" applyFill="1" applyBorder="1"/>
    <xf numFmtId="168" fontId="5" fillId="5" borderId="19" xfId="1" applyNumberFormat="1" applyFont="1" applyFill="1" applyBorder="1"/>
    <xf numFmtId="168" fontId="5" fillId="6" borderId="3" xfId="1" applyNumberFormat="1" applyFont="1" applyFill="1" applyBorder="1"/>
    <xf numFmtId="168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right"/>
    </xf>
    <xf numFmtId="171" fontId="8" fillId="0" borderId="1" xfId="0" applyNumberFormat="1" applyFont="1" applyBorder="1"/>
    <xf numFmtId="165" fontId="5" fillId="0" borderId="1" xfId="1" applyNumberFormat="1" applyFont="1" applyBorder="1"/>
    <xf numFmtId="165" fontId="28" fillId="0" borderId="8" xfId="1" applyNumberFormat="1" applyFont="1" applyFill="1" applyBorder="1"/>
    <xf numFmtId="165" fontId="28" fillId="0" borderId="11" xfId="1" applyNumberFormat="1" applyFont="1" applyFill="1" applyBorder="1"/>
    <xf numFmtId="165" fontId="7" fillId="0" borderId="12" xfId="0" applyNumberFormat="1" applyFont="1" applyBorder="1" applyAlignment="1">
      <alignment vertical="top"/>
    </xf>
    <xf numFmtId="0" fontId="8" fillId="6" borderId="1" xfId="0" applyFont="1" applyFill="1" applyBorder="1" applyAlignment="1">
      <alignment horizontal="center" vertical="center"/>
    </xf>
    <xf numFmtId="165" fontId="18" fillId="0" borderId="19" xfId="22480" applyNumberFormat="1" applyFont="1" applyBorder="1"/>
    <xf numFmtId="0" fontId="8" fillId="3" borderId="0" xfId="0" applyFont="1" applyFill="1" applyAlignment="1">
      <alignment horizontal="left"/>
    </xf>
    <xf numFmtId="0" fontId="8" fillId="3" borderId="23" xfId="0" applyFont="1" applyFill="1" applyBorder="1" applyAlignment="1">
      <alignment horizontal="left"/>
    </xf>
    <xf numFmtId="0" fontId="8" fillId="3" borderId="20" xfId="0" applyFont="1" applyFill="1" applyBorder="1" applyAlignment="1">
      <alignment horizontal="left"/>
    </xf>
    <xf numFmtId="0" fontId="8" fillId="3" borderId="24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2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168" fontId="8" fillId="8" borderId="2" xfId="1" applyNumberFormat="1" applyFont="1" applyFill="1" applyBorder="1" applyAlignment="1">
      <alignment horizontal="center" vertical="center"/>
    </xf>
    <xf numFmtId="168" fontId="8" fillId="8" borderId="4" xfId="1" applyNumberFormat="1" applyFont="1" applyFill="1" applyBorder="1" applyAlignment="1">
      <alignment horizontal="center" vertical="center"/>
    </xf>
    <xf numFmtId="0" fontId="23" fillId="0" borderId="0" xfId="282" applyFont="1" applyFill="1" applyAlignment="1">
      <alignment horizontal="center"/>
    </xf>
    <xf numFmtId="0" fontId="8" fillId="8" borderId="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169" fontId="8" fillId="4" borderId="1" xfId="0" applyNumberFormat="1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169" fontId="8" fillId="4" borderId="9" xfId="0" applyNumberFormat="1" applyFont="1" applyFill="1" applyBorder="1" applyAlignment="1">
      <alignment horizontal="center" vertical="center"/>
    </xf>
    <xf numFmtId="169" fontId="8" fillId="4" borderId="10" xfId="0" applyNumberFormat="1" applyFont="1" applyFill="1" applyBorder="1" applyAlignment="1">
      <alignment horizontal="center" vertical="center"/>
    </xf>
    <xf numFmtId="169" fontId="8" fillId="4" borderId="5" xfId="0" applyNumberFormat="1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6" fillId="0" borderId="0" xfId="282" applyFont="1" applyAlignment="1">
      <alignment horizontal="center"/>
    </xf>
    <xf numFmtId="0" fontId="25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9" xfId="1" applyNumberFormat="1" applyFont="1" applyFill="1" applyBorder="1" applyAlignment="1">
      <alignment horizontal="center"/>
    </xf>
    <xf numFmtId="168" fontId="6" fillId="4" borderId="10" xfId="1" applyNumberFormat="1" applyFont="1" applyFill="1" applyBorder="1" applyAlignment="1">
      <alignment horizontal="center"/>
    </xf>
    <xf numFmtId="168" fontId="6" fillId="4" borderId="5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21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0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7" xfId="0" applyFont="1" applyFill="1" applyBorder="1"/>
    <xf numFmtId="0" fontId="7" fillId="0" borderId="4" xfId="0" applyFont="1" applyFill="1" applyBorder="1"/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alignment horizontal="general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6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_-;\-* #\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January 2026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January 2026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11BD6D-5E94-4923-B6B6-31B93CE08456}" name="Table1312" displayName="Table1312" ref="A11:D212" headerRowCount="0" totalsRowShown="0" headerRowDxfId="739" tableBorderDxfId="738">
  <sortState xmlns:xlrd2="http://schemas.microsoft.com/office/spreadsheetml/2017/richdata2" ref="A11:D212">
    <sortCondition descending="1" ref="D11:D212"/>
  </sortState>
  <tableColumns count="4">
    <tableColumn id="1" xr3:uid="{DC2A3E7E-9489-42EA-90EC-1B5D2B0A883E}" name="Column1" headerRowDxfId="737" dataDxfId="736" dataCellStyle="Comma"/>
    <tableColumn id="2" xr3:uid="{3626F2A5-2BD5-464C-A0F9-1E32EA136341}" name="Column2" headerRowDxfId="735" dataDxfId="734" headerRowCellStyle="Comma" dataCellStyle="Comma"/>
    <tableColumn id="3" xr3:uid="{50E3D6FA-1F8A-405F-8182-A617E06C1925}" name="Column3" headerRowDxfId="733" dataDxfId="732" headerRowCellStyle="Comma" dataCellStyle="Comma"/>
    <tableColumn id="4" xr3:uid="{4A7C8E6E-C550-41F9-9342-18E803AE070E}" name="Column4" headerRowDxfId="731" dataDxfId="730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A9C373-7952-4739-B667-49C50F03D272}" name="Table1" displayName="Table1" ref="A3:B6" headerRowCount="0" totalsRowShown="0" headerRowDxfId="622" dataDxfId="621" tableBorderDxfId="620">
  <tableColumns count="2">
    <tableColumn id="1" xr3:uid="{38017CF8-B959-4044-ACF9-1D42E36263AF}" name="Column1" headerRowDxfId="619" dataDxfId="618"/>
    <tableColumn id="2" xr3:uid="{5C97B9E7-BFED-4451-9916-137C04F67FD3}" name="Column2" headerRowDxfId="617" dataDxfId="616" headerRow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3F3A90-6A37-4E25-B0A4-E1414E51A695}" name="Table178" displayName="Table178" ref="A2:B25" headerRowCount="0" totalsRowShown="0" headerRowDxfId="615" dataDxfId="613" headerRowBorderDxfId="614" tableBorderDxfId="612">
  <sortState xmlns:xlrd2="http://schemas.microsoft.com/office/spreadsheetml/2017/richdata2" ref="A2:B25">
    <sortCondition descending="1" ref="B2:B25"/>
  </sortState>
  <tableColumns count="2">
    <tableColumn id="1" xr3:uid="{F89CB389-D2B9-4F46-8B34-DE7F7B0A8899}" name="Column1" headerRowDxfId="611" dataDxfId="610"/>
    <tableColumn id="2" xr3:uid="{B539BD91-2153-4A25-AE39-CA21860CCBA2}" name="Column2" headerRowDxfId="609" dataDxfId="608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D1AA83A-1336-458A-9D27-E61A65EF3B8A}" name="Table185113" displayName="Table185113" ref="C2:D7" headerRowCount="0" totalsRowShown="0" headerRowDxfId="607" dataDxfId="605" headerRowBorderDxfId="606" tableBorderDxfId="604">
  <sortState xmlns:xlrd2="http://schemas.microsoft.com/office/spreadsheetml/2017/richdata2" ref="C2:D7">
    <sortCondition descending="1" ref="D2:D7"/>
  </sortState>
  <tableColumns count="2">
    <tableColumn id="1" xr3:uid="{3253FB7D-49B5-449F-8AA7-F6CF6FC40A41}" name="Column1" headerRowDxfId="603" dataDxfId="602"/>
    <tableColumn id="2" xr3:uid="{FE6E9E9B-5BE4-4F92-956C-C382B16C5F2D}" name="Column2" headerRowDxfId="601" dataDxfId="600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CF62CC5-7658-4B78-BA25-5B370C14C4F3}" name="Table195214" displayName="Table195214" ref="E2:F5" headerRowCount="0" totalsRowShown="0" headerRowDxfId="599" dataDxfId="597" headerRowBorderDxfId="598" tableBorderDxfId="596">
  <tableColumns count="2">
    <tableColumn id="1" xr3:uid="{4975B363-7D50-43D0-B0C3-60F5F788B5A0}" name="Column1" headerRowDxfId="595" dataDxfId="594"/>
    <tableColumn id="2" xr3:uid="{3EC4F6F2-32B8-41C1-9764-E1E8FB689602}" name="Column2" headerRowDxfId="593" dataDxfId="592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36E25CF-D582-483C-AD1A-45C9D5105B1F}" name="Table28" displayName="Table28" ref="B3:F15" headerRowCount="0" totalsRowShown="0" headerRowDxfId="591" dataDxfId="590" tableBorderDxfId="589">
  <tableColumns count="5">
    <tableColumn id="1" xr3:uid="{3CD6028A-7D6B-4ED7-939B-CE33321938CF}" name="Column1" headerRowDxfId="588" dataDxfId="587"/>
    <tableColumn id="2" xr3:uid="{7C95D549-C975-4164-82E7-4FAE140783D8}" name="Column2" headerRowDxfId="586" dataDxfId="585" headerRowCellStyle="Comma 133" dataCellStyle="Comma"/>
    <tableColumn id="3" xr3:uid="{55309E08-4078-426A-9C12-ED6DBB1326D2}" name="Column3" headerRowDxfId="584" dataDxfId="583" headerRowCellStyle="Comma 133" dataCellStyle="Comma"/>
    <tableColumn id="4" xr3:uid="{6E587D00-15AE-4063-830B-6F42F5CE7CDC}" name="Column4" headerRowDxfId="582" dataDxfId="581" headerRowCellStyle="Comma" dataCellStyle="Comma">
      <calculatedColumnFormula>-'Tab9 Trade Balance'!$D3</calculatedColumnFormula>
    </tableColumn>
    <tableColumn id="5" xr3:uid="{F77D87CF-CBC5-45EF-B72D-24D9907CE9B2}" name="Column5" headerRowDxfId="580" dataDxfId="579" dataCellStyle="Comma">
      <calculatedColumnFormula>'Tab9 Trade Balance'!$C3-'Tab9 Trade Balance'!$D3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A496F0E-E47A-45D4-8078-D172B0BAEF2F}" name="Table1637" displayName="Table1637" ref="A3:D174" headerRowCount="0" totalsRowShown="0" headerRowDxfId="578" dataDxfId="577" tableBorderDxfId="576">
  <sortState xmlns:xlrd2="http://schemas.microsoft.com/office/spreadsheetml/2017/richdata2" ref="A3:D165">
    <sortCondition descending="1" ref="D3:D165"/>
  </sortState>
  <tableColumns count="4">
    <tableColumn id="1" xr3:uid="{1366E37D-ACDF-4A42-A9A5-86B84A85C562}" name="Column1" headerRowDxfId="575" dataDxfId="574"/>
    <tableColumn id="2" xr3:uid="{BE5FEE0E-3FA3-4F85-A7EC-51895C32F48B}" name="Column2" headerRowDxfId="573" dataDxfId="572" headerRowCellStyle="Comma 153" dataCellStyle="Comma"/>
    <tableColumn id="3" xr3:uid="{104F3EA0-5AD2-4C82-9150-DD3CCEC421B7}" name="Column3" headerRowDxfId="571" dataDxfId="570" headerRowCellStyle="Comma 153" dataCellStyle="Comma"/>
    <tableColumn id="4" xr3:uid="{326EE0D5-D446-44B9-9E0C-4C6FAE701158}" name="Column4" headerRowDxfId="569" dataDxfId="568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0C66BBE-4672-44F8-89BA-08B171D26EE1}" name="Table4124" displayName="Table4124" ref="A3:D255" headerRowCount="0" totalsRowShown="0" headerRowDxfId="567" dataDxfId="566" tableBorderDxfId="565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564" dataDxfId="563"/>
    <tableColumn id="2" xr3:uid="{5CCCC1B8-0BF6-46FD-97FA-FC6F1246CB0F}" name="Column2" headerRowDxfId="562" dataDxfId="561" headerRowCellStyle="Comma 153" dataCellStyle="Comma"/>
    <tableColumn id="3" xr3:uid="{EB8677A1-CC5F-46B1-B400-3F08473CE9AF}" name="Column3" headerRowDxfId="560" dataDxfId="559" headerRowCellStyle="Comma 153" dataCellStyle="Comma"/>
    <tableColumn id="4" xr3:uid="{05958B1A-6ACD-4FFE-ADC6-4B8E8B53C197}" name="Column4" headerRowDxfId="558" dataDxfId="557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61BC581-1DF3-42DC-89A4-B473372294B4}" name="Table12" displayName="Table12" ref="A4:I142" headerRowCount="0" totalsRowCount="1" headerRowDxfId="556" dataDxfId="555" totalsRowDxfId="553" tableBorderDxfId="554" headerRowCellStyle="Comma" dataCellStyle="Comma">
  <tableColumns count="9">
    <tableColumn id="1" xr3:uid="{FA7C7FAB-6D8A-435E-9242-FAA6CA085EC9}" name="Column1" totalsRowLabel="Total" headerRowDxfId="552" dataDxfId="551" totalsRowDxfId="550" dataCellStyle="Comma 155"/>
    <tableColumn id="2" xr3:uid="{1292BB7F-A281-4A38-BA44-0BE1D8D67AE7}" name="Column2" totalsRowFunction="custom" headerRowDxfId="549" dataDxfId="548" totalsRowDxfId="547" headerRowCellStyle="Comma 146" dataCellStyle="Comma">
      <totalsRowFormula>SUM(Table12[Column2])</totalsRowFormula>
    </tableColumn>
    <tableColumn id="3" xr3:uid="{B9C8FB7D-77FA-461B-B928-817249FA3B77}" name="Column3" totalsRowFunction="custom" headerRowDxfId="546" dataDxfId="545" totalsRowDxfId="544" headerRowCellStyle="Comma" dataCellStyle="Comma">
      <calculatedColumnFormula>(B4/$B$142)*100</calculatedColumnFormula>
      <totalsRowFormula>SUM(Table12[Column3])</totalsRowFormula>
    </tableColumn>
    <tableColumn id="4" xr3:uid="{6CFB103F-8849-4BBE-A0A9-C694647A90A4}" name="Column4" totalsRowFunction="custom" headerRowDxfId="543" dataDxfId="542" totalsRowDxfId="541" headerRowCellStyle="Comma 146" dataCellStyle="Comma">
      <totalsRowFormula>SUM(Table12[Column4])</totalsRowFormula>
    </tableColumn>
    <tableColumn id="5" xr3:uid="{52484B71-8601-4891-85FA-62BA3ED48C1C}" name="Column5" totalsRowFunction="custom" headerRowDxfId="540" dataDxfId="539" totalsRowDxfId="538" headerRowCellStyle="Comma" dataCellStyle="Comma">
      <calculatedColumnFormula>(D4/$D$142)*100</calculatedColumnFormula>
      <totalsRowFormula>SUM(Table12[Column5])</totalsRowFormula>
    </tableColumn>
    <tableColumn id="6" xr3:uid="{7CEC52F5-6661-46BC-9683-02C985CC08D7}" name="Column6" totalsRowFunction="custom" headerRowDxfId="537" dataDxfId="536" totalsRowDxfId="535" headerRowCellStyle="Comma 146" dataCellStyle="Comma">
      <totalsRowFormula>SUM(Table12[Column6])</totalsRowFormula>
    </tableColumn>
    <tableColumn id="7" xr3:uid="{A61FABFC-B1A1-46DF-8D8F-E6109C13CD82}" name="Column7" totalsRowFunction="custom" headerRowDxfId="534" dataDxfId="533" totalsRowDxfId="532" headerRowCellStyle="Comma" dataCellStyle="Comma">
      <calculatedColumnFormula>(F4/$F$142)*100</calculatedColumnFormula>
      <totalsRowFormula>SUM(Table12[Column7])</totalsRowFormula>
    </tableColumn>
    <tableColumn id="8" xr3:uid="{164D580E-123D-4ECF-BA53-98EA24C8F066}" name="Column8" totalsRowFunction="custom" headerRowDxfId="531" dataDxfId="530" totalsRowDxfId="529" headerRowCellStyle="Comma" dataCellStyle="Comma">
      <calculatedColumnFormula>((F4/D4)-1)*100</calculatedColumnFormula>
      <totalsRowFormula>((F142/D142)-1)*100</totalsRowFormula>
    </tableColumn>
    <tableColumn id="9" xr3:uid="{40090805-B71D-446D-80AE-EB19D2E35081}" name="Column9" totalsRowFunction="custom" headerRowDxfId="528" dataDxfId="527" totalsRowDxfId="526" headerRowCellStyle="Comma" dataCellStyle="Comma">
      <calculatedColumnFormula>((F4/B4)-1)*100</calculatedColumnFormula>
      <totalsRowFormula>((F142/B142)-1)*100</totalsRow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7B7B7F1-AAE4-432C-866A-06C484778E59}" name="Table223729" displayName="Table223729" ref="A4:I183" headerRowCount="0" totalsRowCount="1" headerRowDxfId="525" dataDxfId="524" totalsRowDxfId="522" tableBorderDxfId="523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21" dataDxfId="520" totalsRowDxfId="519"/>
    <tableColumn id="2" xr3:uid="{F4FE1AC8-36B0-4B3D-8AC9-5E4B0AF169A2}" name="Column2" totalsRowFunction="custom" headerRowDxfId="518" dataDxfId="517" totalsRowDxfId="516" headerRowCellStyle="Comma" dataCellStyle="Comma">
      <totalsRowFormula>SUM(Table223729[Column2])</totalsRowFormula>
    </tableColumn>
    <tableColumn id="3" xr3:uid="{643BE1C6-85F8-4379-A8CA-DEE3DBBE3A7F}" name="Column3" totalsRowFunction="custom" headerRowDxfId="515" dataDxfId="514" totalsRowDxfId="513" headerRowCellStyle="Comma" dataCellStyle="Comma">
      <calculatedColumnFormula>(B4/$B$183)*100</calculatedColumnFormula>
      <totalsRowFormula>SUM(Table223729[Column3])</totalsRowFormula>
    </tableColumn>
    <tableColumn id="4" xr3:uid="{672EFBAF-6A6B-4897-90F1-CF230F4A2B97}" name="Column4" totalsRowFunction="custom" headerRowDxfId="512" dataDxfId="511" totalsRowDxfId="510" headerRowCellStyle="Comma" dataCellStyle="Comma">
      <totalsRowFormula>SUM(Table223729[Column4])</totalsRowFormula>
    </tableColumn>
    <tableColumn id="5" xr3:uid="{2AF60E82-25FF-49E8-BA6E-9B181F86811B}" name="Column5" totalsRowFunction="custom" headerRowDxfId="509" dataDxfId="508" totalsRowDxfId="507" headerRowCellStyle="Comma" dataCellStyle="Comma">
      <calculatedColumnFormula>(D4/$D$183)*100</calculatedColumnFormula>
      <totalsRowFormula>SUM(Table223729[Column5])</totalsRowFormula>
    </tableColumn>
    <tableColumn id="6" xr3:uid="{B9FA795D-0D9C-4237-B7B0-B72941F9E559}" name="Column6" totalsRowFunction="custom" headerRowDxfId="506" dataDxfId="505" totalsRowDxfId="504" headerRowCellStyle="Comma" dataCellStyle="Comma">
      <totalsRowFormula>SUM(Table223729[Column6])</totalsRowFormula>
    </tableColumn>
    <tableColumn id="7" xr3:uid="{7F3C9CAF-8484-486C-974B-D364E248481B}" name="Column7" totalsRowFunction="custom" headerRowDxfId="503" dataDxfId="502" totalsRowDxfId="501" headerRowCellStyle="Comma" dataCellStyle="Comma">
      <calculatedColumnFormula>(F4/Table223729[[#Totals],[Column6]])*100</calculatedColumnFormula>
      <totalsRowFormula>SUM(Table223729[Column7])</totalsRowFormula>
    </tableColumn>
    <tableColumn id="8" xr3:uid="{0EDAFCF5-4C1D-48EA-BDB5-D691B7B58564}" name="Column8" totalsRowFunction="custom" headerRowDxfId="500" dataDxfId="499" totalsRowDxfId="498" headerRowCellStyle="Comma" dataCellStyle="Comma">
      <calculatedColumnFormula>((F4/D4)-1)*100</calculatedColumnFormula>
      <totalsRowFormula>((F183/D183)-1)*100</totalsRowFormula>
    </tableColumn>
    <tableColumn id="9" xr3:uid="{1019EA43-AC5E-4358-848B-5641C4DCD9C4}" name="Column9" totalsRowFunction="custom" headerRowDxfId="497" dataDxfId="496" totalsRowDxfId="495" headerRowCellStyle="Comma" dataCellStyle="Comma">
      <calculatedColumnFormula>((F4/B4)-1)*100</calculatedColumnFormula>
      <totalsRowFormula>((F183/B183)-1)*100</totalsRow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8772284-4C32-4516-9C44-32D1A34D1D16}" name="Table25" displayName="Table25" ref="A4:L233" headerRowCount="0" totalsRowShown="0" headerRowDxfId="494" dataDxfId="493" tableBorderDxfId="492" headerRowCellStyle="Comma" dataCellStyle="Comma">
  <sortState xmlns:xlrd2="http://schemas.microsoft.com/office/spreadsheetml/2017/richdata2" ref="A4:L233">
    <sortCondition descending="1" ref="H4:H233"/>
  </sortState>
  <tableColumns count="12">
    <tableColumn id="1" xr3:uid="{6617DE3D-4366-4CC0-A597-8566F7376D38}" name="Column1" headerRowDxfId="491" dataDxfId="490"/>
    <tableColumn id="2" xr3:uid="{B676C305-6578-4D1C-98ED-4516A70AFF42}" name="Column2" headerRowDxfId="489" dataDxfId="488" headerRowCellStyle="Comma" dataCellStyle="Comma"/>
    <tableColumn id="3" xr3:uid="{DBEC1595-70C1-4624-AF84-12BB56C69149}" name="Column3" headerRowDxfId="487" dataDxfId="486" headerRowCellStyle="Comma" dataCellStyle="Comma">
      <calculatedColumnFormula>(B4/$B$234)*100</calculatedColumnFormula>
    </tableColumn>
    <tableColumn id="4" xr3:uid="{4533531D-F697-496C-BE6C-23E48FEC6745}" name="Column4" headerRowDxfId="485" dataDxfId="484" headerRowCellStyle="Comma" dataCellStyle="Comma"/>
    <tableColumn id="5" xr3:uid="{97F63B8B-9DC0-4A4F-8C01-9B765411D7DE}" name="Column5" headerRowDxfId="483" dataDxfId="482" headerRowCellStyle="Comma" dataCellStyle="Comma">
      <calculatedColumnFormula>(D4/$D$234)*100</calculatedColumnFormula>
    </tableColumn>
    <tableColumn id="6" xr3:uid="{F9885280-F0F4-49D7-8FC3-99C3452D3F12}" name="Column6" headerRowDxfId="481" dataDxfId="480" headerRowCellStyle="Comma" dataCellStyle="Comma"/>
    <tableColumn id="7" xr3:uid="{6B882A8B-10A2-49D3-8E14-EF1919CE21B6}" name="Column7" headerRowDxfId="479" dataDxfId="478" headerRowCellStyle="Comma" dataCellStyle="Comma"/>
    <tableColumn id="8" xr3:uid="{31B80FF6-D7D8-4F97-B565-CB8B2A09257D}" name="Column8" headerRowDxfId="477" dataDxfId="476" headerRowCellStyle="Comma" dataCellStyle="Comma">
      <calculatedColumnFormula>F4+G4</calculatedColumnFormula>
    </tableColumn>
    <tableColumn id="9" xr3:uid="{20E76D22-8504-4985-9FF2-8CB83DDD5B01}" name="Column9" headerRowDxfId="475" dataDxfId="474" headerRowCellStyle="Comma" dataCellStyle="Comma">
      <calculatedColumnFormula>(F4/$H$234)*100</calculatedColumnFormula>
    </tableColumn>
    <tableColumn id="10" xr3:uid="{F2130AB9-4280-4737-AE82-7D853C217635}" name="Column10" headerRowDxfId="473" dataDxfId="472" headerRowCellStyle="Comma" dataCellStyle="Comma">
      <calculatedColumnFormula>(G4/$H$234)*100</calculatedColumnFormula>
    </tableColumn>
    <tableColumn id="11" xr3:uid="{34D5B06D-D6F5-4EBB-8C33-88666FD21C46}" name="Column11" headerRowDxfId="471" dataDxfId="470" headerRowCellStyle="Comma" dataCellStyle="Comma">
      <calculatedColumnFormula>((H4/D4)-1)*100</calculatedColumnFormula>
    </tableColumn>
    <tableColumn id="12" xr3:uid="{1E6921E3-9562-44AD-8DF3-C82FAD0A7F9D}" name="Column12" headerRowDxfId="469" dataDxfId="468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E6CB4A8-56FA-4F97-90AF-A6EDF99BD2CA}" name="Table844" displayName="Table844" ref="F11:I254" headerRowCount="0" totalsRowShown="0" headerRowDxfId="729" tableBorderDxfId="728">
  <sortState xmlns:xlrd2="http://schemas.microsoft.com/office/spreadsheetml/2017/richdata2" ref="F11:I254">
    <sortCondition ref="I11:I254"/>
  </sortState>
  <tableColumns count="4">
    <tableColumn id="1" xr3:uid="{9890CF25-EAB9-4ACA-8F0E-042EB0FF95E4}" name="Column1" headerRowDxfId="727" dataDxfId="726" dataCellStyle="Comma"/>
    <tableColumn id="2" xr3:uid="{F0ED6F84-C14C-41FA-92B5-0B06C56AD83F}" name="Column2" headerRowDxfId="725" dataDxfId="724" headerRowCellStyle="Comma 150" dataCellStyle="Comma"/>
    <tableColumn id="3" xr3:uid="{A4C6DD33-C38C-49BF-A56D-B1365C6783DF}" name="Column3" headerRowDxfId="723" dataDxfId="722" headerRowCellStyle="Comma 2" dataCellStyle="Comma"/>
    <tableColumn id="4" xr3:uid="{CD5EEF10-F230-4C42-9F24-D3DB526AC64B}" name="Column4" headerRowDxfId="721" dataDxfId="720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13E9861-785F-4CAF-AA85-8FA9E903107B}" name="Table21" displayName="Table21" ref="A4:I159" headerRowCount="0" totalsRowShown="0" headerRowDxfId="467" dataDxfId="466" tableBorderDxfId="465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A8D816B3-2225-4EF7-8967-621D3E92E3DA}" name="Column1" headerRowDxfId="464" dataDxfId="463"/>
    <tableColumn id="2" xr3:uid="{9027BF6B-BA40-40CA-AB7D-BE87C66D5A10}" name="Column2" headerRowDxfId="462" dataDxfId="461" headerRowCellStyle="Comma 118" dataCellStyle="Comma"/>
    <tableColumn id="3" xr3:uid="{0EB677B2-A37C-41EC-A2ED-CDE4EB90E843}" name="Column3" headerRowDxfId="460" dataDxfId="459" headerRowCellStyle="Comma" dataCellStyle="Comma">
      <calculatedColumnFormula>(B4/$B$160)*100</calculatedColumnFormula>
    </tableColumn>
    <tableColumn id="4" xr3:uid="{010BDF3F-515D-4E7E-9377-D63BEB5ECB1C}" name="Column4" headerRowDxfId="458" dataDxfId="457" headerRowCellStyle="Comma 118" dataCellStyle="Comma"/>
    <tableColumn id="5" xr3:uid="{66948991-44A5-4E3D-9813-F22ECD0DFBC6}" name="Column5" headerRowDxfId="456" dataDxfId="455" headerRowCellStyle="Comma" dataCellStyle="Comma">
      <calculatedColumnFormula>(D4/$D$160)*100</calculatedColumnFormula>
    </tableColumn>
    <tableColumn id="6" xr3:uid="{075D4E6F-F1DC-41C1-8091-CEEC2B6AED9F}" name="Column6" headerRowDxfId="454" dataDxfId="453" headerRowCellStyle="Comma 118" dataCellStyle="Comma"/>
    <tableColumn id="7" xr3:uid="{2AF3874D-6180-4C78-9DB2-B02F15E68EF7}" name="Column7" headerRowDxfId="452" dataDxfId="451" headerRowCellStyle="Comma" dataCellStyle="Comma">
      <calculatedColumnFormula>(F4/$F$160)*100</calculatedColumnFormula>
    </tableColumn>
    <tableColumn id="8" xr3:uid="{E016A322-C8C2-4DB4-AF70-B16C78B54667}" name="Column8" headerRowDxfId="450" dataDxfId="449" headerRowCellStyle="Comma" dataCellStyle="Comma">
      <calculatedColumnFormula>((F4/D4)-1)*100</calculatedColumnFormula>
    </tableColumn>
    <tableColumn id="9" xr3:uid="{974CC38E-4740-4953-8169-90DEF0494918}" name="Column9" headerRowDxfId="448" dataDxfId="447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44847CE-A7B7-4595-A88D-9A4BF489FE26}" name="Table16" displayName="Table16" ref="A4:I258" headerRowCount="0" totalsRowShown="0" headerRowDxfId="446" dataDxfId="445" tableBorderDxfId="444" headerRowCellStyle="Comma">
  <sortState xmlns:xlrd2="http://schemas.microsoft.com/office/spreadsheetml/2017/richdata2" ref="A4:I258">
    <sortCondition descending="1" ref="F4:F258"/>
  </sortState>
  <tableColumns count="9">
    <tableColumn id="1" xr3:uid="{7349B799-3558-4889-9991-C21F5F98ADCB}" name="Column1" headerRowDxfId="443" dataDxfId="442"/>
    <tableColumn id="2" xr3:uid="{186C5220-37D1-478D-B2F0-1DA52398826C}" name="Column2" headerRowDxfId="441" dataDxfId="440" headerRowCellStyle="Comma" dataCellStyle="Comma"/>
    <tableColumn id="3" xr3:uid="{B9FF5E7B-12A1-4ACC-8BF5-4D083CC281F8}" name="Column3" headerRowDxfId="439" dataDxfId="438" headerRowCellStyle="Comma" dataCellStyle="Comma">
      <calculatedColumnFormula>(B4/$B$259)*100</calculatedColumnFormula>
    </tableColumn>
    <tableColumn id="4" xr3:uid="{FC4AEE7D-99A5-403D-9A2F-EA0611971C86}" name="Column4" headerRowDxfId="437" dataDxfId="436" headerRowCellStyle="Comma" dataCellStyle="Comma"/>
    <tableColumn id="5" xr3:uid="{E0B2F2E1-1852-41C2-879C-B08921BF5C3B}" name="Column5" headerRowDxfId="435" dataDxfId="434" headerRowCellStyle="Comma" dataCellStyle="Comma">
      <calculatedColumnFormula>(D4/$D$259)*100</calculatedColumnFormula>
    </tableColumn>
    <tableColumn id="6" xr3:uid="{811172F2-ACA6-4EF5-A8CE-CA1798A889BC}" name="Column6" headerRowDxfId="433" dataDxfId="432" headerRowCellStyle="Comma" dataCellStyle="Comma"/>
    <tableColumn id="7" xr3:uid="{03197873-FC26-4332-964D-00AFAC18FD7B}" name="Column7" headerRowDxfId="431" dataDxfId="430" headerRowCellStyle="Comma" dataCellStyle="Comma">
      <calculatedColumnFormula>(F4/$F$259)*100</calculatedColumnFormula>
    </tableColumn>
    <tableColumn id="8" xr3:uid="{982055C4-A2DD-4DAA-BD9F-6395976FA57F}" name="Column8" headerRowDxfId="429" dataDxfId="428" headerRowCellStyle="Comma" dataCellStyle="Comma">
      <calculatedColumnFormula>((F4/D4)-1)*100</calculatedColumnFormula>
    </tableColumn>
    <tableColumn id="9" xr3:uid="{A7C202F3-672C-424A-922B-2E7472805B19}" name="Column9" headerRowDxfId="427" dataDxfId="42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E02D9A9-3D8E-4387-9DBD-2815C473A12A}" name="Table2223" displayName="Table2223" ref="A2:F34" headerRowCount="0" totalsRowShown="0" headerRowDxfId="425" dataDxfId="424" tableBorderDxfId="423" headerRowCellStyle="Comma" dataCellStyle="Comma">
  <sortState xmlns:xlrd2="http://schemas.microsoft.com/office/spreadsheetml/2017/richdata2" ref="A2:F34">
    <sortCondition descending="1" ref="E2:E34"/>
  </sortState>
  <tableColumns count="6">
    <tableColumn id="1" xr3:uid="{F984ACB1-BDD0-41A1-A699-66C83269F35D}" name="Column1" headerRowDxfId="422" dataDxfId="421" dataCellStyle="Comma"/>
    <tableColumn id="2" xr3:uid="{288EB086-90E5-4E3A-88D6-179075A30789}" name="Column2" headerRowDxfId="420" dataDxfId="419" dataCellStyle="Comma"/>
    <tableColumn id="3" xr3:uid="{D2730133-AC87-43E4-9137-182C2535632E}" name="Column3" headerRowDxfId="418" dataDxfId="417" dataCellStyle="Comma"/>
    <tableColumn id="4" xr3:uid="{7B201935-6D1B-4A63-895B-A504279E6DBF}" name="Column4" headerRowDxfId="416" dataDxfId="415" dataCellStyle="Comma"/>
    <tableColumn id="5" xr3:uid="{783C5401-7196-4FDF-B381-8AB7FEEE7742}" name="Column5" headerRowDxfId="414" dataDxfId="413" dataCellStyle="Comma"/>
    <tableColumn id="6" xr3:uid="{3CE6E175-F261-4038-A3B6-80CD72A97452}" name="Column6" headerRowDxfId="412" dataDxfId="411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86E508C-686B-4787-883A-2773FB45607F}" name="Table174015" displayName="Table174015" ref="A2:F20" totalsRowShown="0" headerRowDxfId="410" dataDxfId="408" headerRowBorderDxfId="409" tableBorderDxfId="407" dataCellStyle="Comma">
  <sortState xmlns:xlrd2="http://schemas.microsoft.com/office/spreadsheetml/2017/richdata2" ref="A3:F20">
    <sortCondition descending="1" ref="F3:F20"/>
  </sortState>
  <tableColumns count="6">
    <tableColumn id="1" xr3:uid="{1A929A47-B9F7-4F32-A70B-F3C68FC18C0E}" name="Partner" dataDxfId="406" dataCellStyle="Comma"/>
    <tableColumn id="2" xr3:uid="{A22EEE43-EB0A-43BE-AF03-EF5C76315ABE}" name="274: Sulphur and unroasted iron pyrites" dataDxfId="405" dataCellStyle="Comma"/>
    <tableColumn id="3" xr3:uid="{1CBCF6BA-0171-40DC-8EA7-E18273975A01}" name="283: Copper ores and concentrates; copper mattes; cement copper" dataDxfId="404" dataCellStyle="Comma"/>
    <tableColumn id="4" xr3:uid="{C1840D2F-0934-4FCA-A1E3-C69428DCA5BF}" name="284: Nickel ores and concentrates; nickel mattes, nickel oxide sinters and other intermediate products of nickel metallurgy" dataDxfId="403" dataCellStyle="Comma"/>
    <tableColumn id="5" xr3:uid="{F0A842D8-DA6C-4429-AB51-7DC19A5D5D9D}" name="287: Ores and concentrates of base metals, n.e.s." dataDxfId="402" dataCellStyle="Comma"/>
    <tableColumn id="6" xr3:uid="{FCA815CE-1076-4BE1-8A38-CF2DC43C801E}" name="334: Petroleum oils and oils obtained from bituminous minerals (other than crude); preparations, n.e.s., " dataDxfId="401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3734F66-717E-4AF3-972D-39D12B5FE700}" name="Table54517" displayName="Table54517" ref="A2:F40" totalsRowShown="0" headerRowDxfId="400" dataDxfId="398" headerRowBorderDxfId="399" tableBorderDxfId="397" headerRowCellStyle="Comma" dataCellStyle="Comma">
  <sortState xmlns:xlrd2="http://schemas.microsoft.com/office/spreadsheetml/2017/richdata2" ref="A3:F40">
    <sortCondition descending="1" ref="F3:F40"/>
  </sortState>
  <tableColumns count="6">
    <tableColumn id="1" xr3:uid="{0B23B13A-3424-4440-B666-6D8A40517D29}" name="Partner" dataDxfId="396" dataCellStyle="Comma"/>
    <tableColumn id="2" xr3:uid="{4FA62323-4EC9-4B1A-8ECB-EE27C5AD1DB7}" name="284: Nickel ores and concentrates; nickel mattes, nickel oxide sinters and other intermediate products of nickel metallurgy" dataDxfId="395" dataCellStyle="Comma"/>
    <tableColumn id="3" xr3:uid="{A2155A8E-CA72-4B3A-B928-1752631E8D04}" name="334: Petroleum oils and oils obtained from bituminous minerals (other than crude); preparations, n.e.s., " dataDxfId="394" dataCellStyle="Comma"/>
    <tableColumn id="4" xr3:uid="{AE0D0900-1111-4F28-BFCA-87D2F12631B8}" name="711: Steam or other vapour-generating boilers, superheated water boilers, and auxiliary plant for use therewith; parts thereof" dataDxfId="393" dataCellStyle="Comma"/>
    <tableColumn id="5" xr3:uid="{9BA577FA-7FF1-4FEB-8A1E-9AEDAA1459C2}" name="781: Motor vehicles for the transport of persons" dataDxfId="392" dataCellStyle="Comma"/>
    <tableColumn id="6" xr3:uid="{85F0BA6D-4C6F-45C9-B9DF-BBCC79E6C4A6}" name="782: Motor vehicles for the transport of goods and special-purpose motor vehicles" dataDxfId="391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4D2B3E5-66CA-4FD1-B84D-65DDC6D20C36}" name="Table27" displayName="Table27" ref="A3:F15" headerRowCount="0" totalsRowShown="0" headerRowDxfId="390" dataDxfId="388" headerRowBorderDxfId="389" tableBorderDxfId="387" headerRowCellStyle="Comma" dataCellStyle="Comma">
  <tableColumns count="6">
    <tableColumn id="1" xr3:uid="{3179DA3D-31B0-4086-933B-30E9486FB379}" name="Column1" headerRowDxfId="386" dataDxfId="385" totalsRowDxfId="384" dataCellStyle="Comma"/>
    <tableColumn id="2" xr3:uid="{99CDBC9E-4098-4B1E-92A1-AC0B6D16EE17}" name="Column2" headerRowDxfId="383" dataDxfId="382" totalsRowDxfId="381" dataCellStyle="Comma"/>
    <tableColumn id="3" xr3:uid="{B6C57B88-B51C-4AF5-B74B-DA89A0F76A5F}" name="Column3" headerRowDxfId="380" dataDxfId="379" totalsRowDxfId="378" dataCellStyle="Comma"/>
    <tableColumn id="4" xr3:uid="{D44DD32C-278D-4F8C-8770-5AC975F27E3A}" name="Column4" headerRowDxfId="377" dataDxfId="376" totalsRowDxfId="375" dataCellStyle="Comma"/>
    <tableColumn id="5" xr3:uid="{17B9D534-CD9E-4BAF-B4F9-D7D580DF4C5D}" name="Column5" headerRowDxfId="374" dataDxfId="373" totalsRowDxfId="372" dataCellStyle="Comma"/>
    <tableColumn id="6" xr3:uid="{B9D60DEE-8834-4EE6-9355-6DA69476C257}" name="Column6" headerRowDxfId="371" dataDxfId="370" totalsRowDxfId="369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368" dataDxfId="367" tableBorderDxfId="366" headerRowCellStyle="Comma" dataCellStyle="Comma">
  <tableColumns count="9">
    <tableColumn id="1" xr3:uid="{00000000-0010-0000-1200-000001000000}" name="Column1" headerRowDxfId="365" dataDxfId="364" headerRowCellStyle="Comma" dataCellStyle="Comma"/>
    <tableColumn id="2" xr3:uid="{00000000-0010-0000-1200-000002000000}" name="Column2" headerRowDxfId="363" dataDxfId="362" headerRowCellStyle="Comma" dataCellStyle="Comma 120"/>
    <tableColumn id="3" xr3:uid="{00000000-0010-0000-1200-000003000000}" name="Column3" headerRowDxfId="361" dataDxfId="360" headerRowCellStyle="Comma" dataCellStyle="Comma">
      <calculatedColumnFormula>(B4/$B$13)*100</calculatedColumnFormula>
    </tableColumn>
    <tableColumn id="4" xr3:uid="{00000000-0010-0000-1200-000004000000}" name="Column4" headerRowDxfId="359" dataDxfId="358" headerRowCellStyle="Comma" dataCellStyle="Comma 120"/>
    <tableColumn id="5" xr3:uid="{00000000-0010-0000-1200-000005000000}" name="Column5" headerRowDxfId="357" dataDxfId="356" headerRowCellStyle="Comma" dataCellStyle="Comma">
      <calculatedColumnFormula>(D4/$D$13)*100</calculatedColumnFormula>
    </tableColumn>
    <tableColumn id="6" xr3:uid="{00000000-0010-0000-1200-000006000000}" name="Column6" headerRowDxfId="355" dataDxfId="354" headerRowCellStyle="Comma" dataCellStyle="Comma 120"/>
    <tableColumn id="7" xr3:uid="{00000000-0010-0000-1200-000007000000}" name="Column7" headerRowDxfId="353" dataDxfId="352" headerRowCellStyle="Comma" dataCellStyle="Comma"/>
    <tableColumn id="8" xr3:uid="{00000000-0010-0000-1200-000008000000}" name="Column8" headerRowDxfId="351" dataDxfId="350" headerRowCellStyle="Comma" dataCellStyle="Comma">
      <calculatedColumnFormula>((F4/D4)-1)*100</calculatedColumnFormula>
    </tableColumn>
    <tableColumn id="9" xr3:uid="{00000000-0010-0000-1200-000009000000}" name="Column9" headerRowDxfId="349" dataDxfId="34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03" headerRowCount="0" totalsRowCount="1" headerRowDxfId="347" dataDxfId="345" headerRowBorderDxfId="346" tableBorderDxfId="344">
  <sortState xmlns:xlrd2="http://schemas.microsoft.com/office/spreadsheetml/2017/richdata2" ref="A2:J202">
    <sortCondition descending="1" ref="J2:J202"/>
  </sortState>
  <tableColumns count="10">
    <tableColumn id="1" xr3:uid="{94AA04BD-08FE-4345-B596-22E26DE4AB95}" name="Column1" totalsRowLabel="Total" headerRowDxfId="343" dataDxfId="342" totalsRowDxfId="341"/>
    <tableColumn id="2" xr3:uid="{F47D8B75-8418-4333-8BA9-4DA54363974E}" name="Column2" totalsRowFunction="sum" headerRowDxfId="340" dataDxfId="339" totalsRowDxfId="338" dataCellStyle="Comma"/>
    <tableColumn id="3" xr3:uid="{1FD08374-2188-4B85-B26D-B5B25443DB9B}" name="Column3" totalsRowFunction="sum" headerRowDxfId="337" dataDxfId="336" totalsRowDxfId="335" dataCellStyle="Comma"/>
    <tableColumn id="4" xr3:uid="{8C6D8318-FB2A-4C2C-979D-FB8A08F90C88}" name="Column4" totalsRowFunction="sum" headerRowDxfId="334" dataDxfId="333" totalsRowDxfId="332" dataCellStyle="Comma"/>
    <tableColumn id="5" xr3:uid="{39F7EE61-CBF6-4127-B1A2-06BF201720FB}" name="Column5" totalsRowFunction="sum" headerRowDxfId="331" dataDxfId="330" totalsRowDxfId="329" dataCellStyle="Comma"/>
    <tableColumn id="6" xr3:uid="{C4E25F12-A64A-4F01-86DF-807BC1093BF7}" name="Column6" totalsRowFunction="sum" headerRowDxfId="328" dataDxfId="327" totalsRowDxfId="326" dataCellStyle="Comma"/>
    <tableColumn id="7" xr3:uid="{05EF338B-F5B0-44BF-BD94-88787DE39193}" name="Column7" totalsRowFunction="sum" headerRowDxfId="325" dataDxfId="324" totalsRowDxfId="323" dataCellStyle="Comma"/>
    <tableColumn id="8" xr3:uid="{584C3877-F071-4728-9BAD-77BD0288A765}" name="Column8" totalsRowFunction="sum" headerRowDxfId="322" dataDxfId="321" totalsRowDxfId="320" dataCellStyle="Comma"/>
    <tableColumn id="9" xr3:uid="{0DBFB53D-253E-4BCA-B129-75AF941B1A8B}" name="Column9" totalsRowFunction="sum" headerRowDxfId="319" dataDxfId="318" totalsRowDxfId="317" dataCellStyle="Comma"/>
    <tableColumn id="10" xr3:uid="{F51EC78C-C567-40C6-8335-361CB34AF10B}" name="Column10" totalsRowFunction="sum" headerRowDxfId="316" dataDxfId="315" totalsRowDxfId="314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13" dataDxfId="312" tableBorderDxfId="311" headerRowCellStyle="Comma">
  <sortState xmlns:xlrd2="http://schemas.microsoft.com/office/spreadsheetml/2017/richdata2" ref="A4:I13">
    <sortCondition descending="1" ref="F4:F13"/>
  </sortState>
  <tableColumns count="9">
    <tableColumn id="1" xr3:uid="{00000000-0010-0000-1400-000001000000}" name="Column1" headerRowDxfId="310" dataDxfId="309" headerRowCellStyle="Comma" dataCellStyle="Comma"/>
    <tableColumn id="2" xr3:uid="{00000000-0010-0000-1400-000002000000}" name="Column2" headerRowDxfId="308" dataDxfId="307" headerRowCellStyle="Comma" dataCellStyle="Comma"/>
    <tableColumn id="3" xr3:uid="{00000000-0010-0000-1400-000003000000}" name="Column3" headerRowDxfId="306" dataDxfId="305" headerRowCellStyle="Comma" dataCellStyle="Comma">
      <calculatedColumnFormula>(B4/$B$13)*100</calculatedColumnFormula>
    </tableColumn>
    <tableColumn id="4" xr3:uid="{00000000-0010-0000-1400-000004000000}" name="Column4" headerRowDxfId="304" dataDxfId="303" headerRowCellStyle="Comma" dataCellStyle="Comma"/>
    <tableColumn id="5" xr3:uid="{00000000-0010-0000-1400-000005000000}" name="Column5" headerRowDxfId="302" dataDxfId="301" headerRowCellStyle="Comma" dataCellStyle="Comma">
      <calculatedColumnFormula>(D4/$D$13)*100</calculatedColumnFormula>
    </tableColumn>
    <tableColumn id="6" xr3:uid="{00000000-0010-0000-1400-000006000000}" name="Column6" headerRowDxfId="300" dataDxfId="299" headerRowCellStyle="Comma" dataCellStyle="Comma"/>
    <tableColumn id="7" xr3:uid="{00000000-0010-0000-1400-000007000000}" name="Column7" headerRowDxfId="298" dataDxfId="297" headerRowCellStyle="Comma" dataCellStyle="Comma"/>
    <tableColumn id="8" xr3:uid="{00000000-0010-0000-1400-000008000000}" name="Column8" headerRowDxfId="296" dataDxfId="295" headerRowCellStyle="Comma" dataCellStyle="Comma">
      <calculatedColumnFormula>((F4/D4)-1)*100</calculatedColumnFormula>
    </tableColumn>
    <tableColumn id="9" xr3:uid="{00000000-0010-0000-1400-000009000000}" name="Column9" headerRowDxfId="294" dataDxfId="293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53" headerRowCount="0" totalsRowCount="1" headerRowDxfId="292" dataDxfId="290" headerRowBorderDxfId="291" tableBorderDxfId="289" dataCellStyle="Comma">
  <sortState xmlns:xlrd2="http://schemas.microsoft.com/office/spreadsheetml/2017/richdata2" ref="A2:J252">
    <sortCondition descending="1" ref="H2:H252"/>
  </sortState>
  <tableColumns count="10">
    <tableColumn id="1" xr3:uid="{94DE5067-B747-4126-A281-82A63A8256FF}" name="Column1" totalsRowLabel="Total" headerRowDxfId="288" dataDxfId="287" totalsRowDxfId="286" dataCellStyle="Comma"/>
    <tableColumn id="2" xr3:uid="{D04CB9BC-042C-4A08-A572-26C3FE6BFCD6}" name="Column2" totalsRowFunction="sum" headerRowDxfId="285" dataDxfId="284" totalsRowDxfId="283" dataCellStyle="Comma"/>
    <tableColumn id="3" xr3:uid="{CCCED8ED-9330-42E7-A319-AD0078EAA779}" name="Column3" totalsRowFunction="sum" headerRowDxfId="282" dataDxfId="281" totalsRowDxfId="280" dataCellStyle="Comma"/>
    <tableColumn id="4" xr3:uid="{3316D45D-F040-4EF0-86EC-652B0AF56B47}" name="Column4" totalsRowFunction="sum" headerRowDxfId="279" dataDxfId="278" totalsRowDxfId="277" dataCellStyle="Comma"/>
    <tableColumn id="5" xr3:uid="{04F2C16A-D74B-421B-83E8-F23FD2A9289B}" name="Column5" totalsRowFunction="sum" headerRowDxfId="276" dataDxfId="275" totalsRowDxfId="274" dataCellStyle="Comma"/>
    <tableColumn id="6" xr3:uid="{3A15B47E-E267-4762-893A-9C3D2DDD1230}" name="Column6" totalsRowFunction="sum" headerRowDxfId="273" dataDxfId="272" totalsRowDxfId="271" dataCellStyle="Comma"/>
    <tableColumn id="7" xr3:uid="{5E8EBA75-AAB9-48F0-A969-56B4F0B24B36}" name="Column7" totalsRowFunction="sum" headerRowDxfId="270" dataDxfId="269" totalsRowDxfId="268" dataCellStyle="Comma"/>
    <tableColumn id="8" xr3:uid="{55738517-B251-4737-A934-E3026A1E64DD}" name="Column8" totalsRowFunction="sum" headerRowDxfId="267" dataDxfId="266" totalsRowDxfId="265" dataCellStyle="Comma"/>
    <tableColumn id="9" xr3:uid="{F4AD1922-B4C8-4239-A5A2-8EBD6E593D88}" name="Column9" totalsRowFunction="sum" headerRowDxfId="264" dataDxfId="263" totalsRowDxfId="262" dataCellStyle="Comma"/>
    <tableColumn id="10" xr3:uid="{148C0539-3FF4-4B20-8A8A-AF1F58A61C45}" name="Column10" totalsRowFunction="sum" headerRowDxfId="261" dataDxfId="260" totalsRowDxfId="259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3DE30D-1BB8-4C69-9BC2-64BAADE09DB9}" name="Table5" displayName="Table5" ref="A2:E14" headerRowCount="0" totalsRowShown="0" headerRowDxfId="719" dataDxfId="718" tableBorderDxfId="717">
  <tableColumns count="5">
    <tableColumn id="1" xr3:uid="{4B463BFD-D75F-4230-AB56-F205E8D2CDB1}" name="Column1" headerRowDxfId="716" dataDxfId="715"/>
    <tableColumn id="2" xr3:uid="{AD0DB5F7-D5A3-4F36-9559-336E9800150A}" name="Column2" headerRowDxfId="714" dataDxfId="713" dataCellStyle="Comma 117"/>
    <tableColumn id="3" xr3:uid="{345A7A19-6510-492F-8450-423AFDE9EB00}" name="Column3" headerRowDxfId="712" dataDxfId="711" dataCellStyle="Comma 117"/>
    <tableColumn id="4" xr3:uid="{7578DCB3-634D-42CB-A81E-7BBA3B97C502}" name="Column4" headerRowDxfId="710" dataDxfId="709"/>
    <tableColumn id="5" xr3:uid="{C3E342DB-B6D4-48FE-B0A9-9AEA7A1A9655}" name="Column5" headerRowDxfId="708" dataDxfId="707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8" headerRowCount="0" totalsRowCount="1" headerRowDxfId="258" dataDxfId="257" totalsRowDxfId="255" tableBorderDxfId="256" headerRowCellStyle="Comma 23">
  <tableColumns count="6">
    <tableColumn id="1" xr3:uid="{845392F7-3EB0-4ADE-85C0-FB34B180958D}" name="Column1" totalsRowLabel=" Total " headerRowDxfId="254" dataDxfId="253" totalsRowDxfId="252" dataCellStyle="Comma"/>
    <tableColumn id="2" xr3:uid="{1F20528A-5129-4DF7-B986-879A31AF3568}" name="Column2" totalsRowFunction="custom" headerRowDxfId="251" dataDxfId="250" totalsRowDxfId="249" headerRowCellStyle="Comma 23" dataCellStyle="Comma" totalsRowCellStyle="Comma">
      <totalsRowFormula>SUM(B3:B7)</totalsRowFormula>
    </tableColumn>
    <tableColumn id="3" xr3:uid="{DA207716-BA8D-467C-B37D-4736F20EA9EA}" name="Column3" totalsRowFunction="custom" headerRowDxfId="248" dataDxfId="247" totalsRowDxfId="246" headerRowCellStyle="Comma 23" dataCellStyle="Comma" totalsRowCellStyle="Comma">
      <totalsRowFormula>SUM(C3:C7)</totalsRowFormula>
    </tableColumn>
    <tableColumn id="4" xr3:uid="{D6BB679B-EEB8-44D1-85AD-132CC4265444}" name="Column4" totalsRowFunction="custom" headerRowDxfId="245" dataDxfId="244" totalsRowDxfId="243" headerRowCellStyle="Comma 23" dataCellStyle="Comma" totalsRowCellStyle="Comma">
      <totalsRowFormula>SUM(D3:D7)</totalsRowFormula>
    </tableColumn>
    <tableColumn id="5" xr3:uid="{21E6899B-9E66-4D47-9CC0-A8E6A0CC3EC2}" name="Column5" totalsRowFunction="custom" headerRowDxfId="242" dataDxfId="241" totalsRowDxfId="240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39" dataDxfId="238" totalsRowDxfId="237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0" headerRowCount="0" totalsRowShown="0" headerRowDxfId="236" dataDxfId="235" tableBorderDxfId="234">
  <tableColumns count="9">
    <tableColumn id="1" xr3:uid="{7F68F5E3-1151-4FC1-AFA8-5078D5163FD0}" name="Column1" headerRowDxfId="233" dataDxfId="232" headerRowCellStyle="Comma" dataCellStyle="Comma"/>
    <tableColumn id="2" xr3:uid="{7ECD1EE9-CFE5-4BC6-A40B-5948057B0E22}" name="Column2" headerRowDxfId="231" dataDxfId="230" headerRowCellStyle="Comma" dataCellStyle="Comma 72 2"/>
    <tableColumn id="3" xr3:uid="{46877253-AD85-4629-A8FF-A9FC5FCE3959}" name="Column3" headerRowDxfId="229" dataDxfId="228" headerRowCellStyle="Comma" dataCellStyle="Comma">
      <calculatedColumnFormula>(B4/$B$10)*100</calculatedColumnFormula>
    </tableColumn>
    <tableColumn id="4" xr3:uid="{1213770B-DA0B-4838-9D00-CA227B8C359E}" name="Column4" headerRowDxfId="227" dataDxfId="226" headerRowCellStyle="Comma" dataCellStyle="Comma 72 2"/>
    <tableColumn id="5" xr3:uid="{298D6763-4F9B-4E5D-B854-1DAAEBB4EDB1}" name="Column5" headerRowDxfId="225" dataDxfId="224" headerRowCellStyle="Comma" dataCellStyle="Comma">
      <calculatedColumnFormula>(D4/$D$10)*100</calculatedColumnFormula>
    </tableColumn>
    <tableColumn id="6" xr3:uid="{0914F7C7-D3FD-4E86-8DDD-17020BB8A426}" name="Column6" headerRowDxfId="223" dataDxfId="222" headerRowCellStyle="Comma" dataCellStyle="Comma 72 2"/>
    <tableColumn id="7" xr3:uid="{5531489D-0D81-4D03-B678-A0163D3D4E46}" name="Column7" headerRowDxfId="221" dataDxfId="220" headerRowCellStyle="Comma" dataCellStyle="Comma">
      <calculatedColumnFormula>(F4/$F$10)*100</calculatedColumnFormula>
    </tableColumn>
    <tableColumn id="8" xr3:uid="{FEE7E3A9-6557-406D-ABA9-B74FB7FA2DCE}" name="Column8" headerRowDxfId="219" dataDxfId="218" headerRowCellStyle="Comma" dataCellStyle="Comma">
      <calculatedColumnFormula>((F4/D4)-1)*100</calculatedColumnFormula>
    </tableColumn>
    <tableColumn id="9" xr3:uid="{0CF61064-6312-4B06-9A77-51C24127AC79}" name="Column9" headerRowDxfId="217" dataDxfId="216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N260" headerRowCount="0" totalsRowCount="1" headerRowDxfId="215" dataDxfId="214" tableBorderDxfId="213" headerRowCellStyle="Comma 10 10 2 2 2 2 2 2 2 2 2 2 2 2" dataCellStyle="Comma">
  <sortState xmlns:xlrd2="http://schemas.microsoft.com/office/spreadsheetml/2017/richdata2" ref="A5:D258">
    <sortCondition descending="1" ref="D5:D258"/>
  </sortState>
  <tableColumns count="14">
    <tableColumn id="1" xr3:uid="{34726B55-9A2F-45F4-AC57-55B7FA588824}" name="Column1" headerRowDxfId="212" dataDxfId="211" totalsRowDxfId="210"/>
    <tableColumn id="2" xr3:uid="{BD0F3CE1-B889-406F-8073-204017D68307}" name="Column2" totalsRowFunction="sum" headerRowDxfId="209" dataDxfId="208" totalsRowDxfId="207" headerRowCellStyle="Comma 10 10 2 2 2 2 2 2 2 2 2 2 2 2" dataCellStyle="Comma"/>
    <tableColumn id="3" xr3:uid="{9BE739DC-42C5-404B-A803-DA55582DBE7A}" name="Column3" totalsRowFunction="sum" headerRowDxfId="206" dataDxfId="205" totalsRowDxfId="204" headerRowCellStyle="Comma 10 10 2 2 2 2 2 2 2 2 2 2 2 2" dataCellStyle="Comma"/>
    <tableColumn id="4" xr3:uid="{30F1BB36-CBB3-4AC3-8E03-15774AD6DDDB}" name="Column4" totalsRowFunction="sum" headerRowDxfId="203" dataDxfId="202" totalsRowDxfId="201" headerRowCellStyle="Comma 10 10 2 2 2 2 2 2 2 2 2 2 2 2" dataCellStyle="Comma"/>
    <tableColumn id="5" xr3:uid="{EA593B66-2DB4-444D-BA1A-7262D5F79613}" name="Column5" headerRowDxfId="200" dataDxfId="1" totalsRowDxfId="0" headerRowCellStyle="Comma 10 10 2 2 2 2 2 2 2 2 2 2 2 2" dataCellStyle="Comma"/>
    <tableColumn id="6" xr3:uid="{15C95491-300E-41C9-8F2F-D3FA19CE51DC}" name="Column6" headerRowDxfId="199" dataDxfId="198" totalsRowDxfId="197" headerRowCellStyle="Comma 10 10 2 2 2 2 2 2 2 2 2 2 2 2" dataCellStyle="Comma"/>
    <tableColumn id="7" xr3:uid="{0E69FE83-134D-4603-92AB-01B30FE26A17}" name="Column7" totalsRowFunction="sum" headerRowDxfId="196" dataDxfId="195" totalsRowDxfId="194" headerRowCellStyle="Comma 10 10 2 2 2 2 2 2 2 2 2 2 2 2" dataCellStyle="Comma"/>
    <tableColumn id="8" xr3:uid="{B835DD12-E13A-462E-8DEF-F574CD7B1CE3}" name="Column8" totalsRowFunction="sum" headerRowDxfId="193" dataDxfId="192" totalsRowDxfId="191" headerRowCellStyle="Comma 10 10 2 2 2 2 2 2 2 2 2 2 2 2" dataCellStyle="Comma"/>
    <tableColumn id="9" xr3:uid="{6DE4BAFA-44A1-4FA6-8BB1-3A2BC127B318}" name="Column9" totalsRowFunction="sum" headerRowDxfId="190" dataDxfId="189" totalsRowDxfId="188" headerRowCellStyle="Comma 10 10 2 2 2 2 2 2 2 2 2 2 2 2" dataCellStyle="Comma"/>
    <tableColumn id="10" xr3:uid="{90DA93C0-4F13-48A1-95C3-B22084E5A24C}" name="Column10" headerRowDxfId="187" dataDxfId="186" totalsRowDxfId="185" headerRowCellStyle="Comma 10 10 2 2 2 2 2 2 2 2 2 2 2 2" dataCellStyle="Comma"/>
    <tableColumn id="11" xr3:uid="{5B2E67F6-3297-4892-9D96-9CD4EA224D1B}" name="Column11" headerRowDxfId="184" dataDxfId="183" totalsRowDxfId="182" headerRowCellStyle="Comma 10 10 2 2 2 2 2 2 2 2 2 2 2 2" dataCellStyle="Comma"/>
    <tableColumn id="12" xr3:uid="{F4FA968D-1CCC-4F05-8225-3A4358E33C42}" name="Column12" totalsRowFunction="sum" headerRowDxfId="181" dataDxfId="180" totalsRowDxfId="179" headerRowCellStyle="Comma 10 10 2 2 2 2 2 2 2 2 2 2 2 2" dataCellStyle="Comma" totalsRowCellStyle="Comma"/>
    <tableColumn id="13" xr3:uid="{89E5F02C-8A0D-4D0B-BD14-36880A2A4D2E}" name="Column13" totalsRowFunction="sum" headerRowDxfId="178" dataDxfId="177" totalsRowDxfId="176" headerRowCellStyle="Comma 10 10 2 2 2 2 2 2 2 2 2 2 2 2" dataCellStyle="Comma" totalsRowCellStyle="Comma"/>
    <tableColumn id="14" xr3:uid="{1E98E01F-C5FD-4416-AC23-FE047B525593}" name="Column14" totalsRowFunction="sum" headerRowDxfId="175" dataDxfId="174" totalsRowDxfId="173" headerRowCellStyle="Comma 10 10 2 2 2 2 2 2 2 2 2 2 2 2" dataCellStyle="Comma" totalsRowCellStyle="Comma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9" headerRowCount="0" totalsRowShown="0" headerRowDxfId="172" dataDxfId="171" tableBorderDxfId="170" headerRowCellStyle="Comma 23">
  <tableColumns count="6">
    <tableColumn id="1" xr3:uid="{6B96967E-BA49-4688-B504-8499DB2FDAFF}" name="Column1" headerRowDxfId="169" dataDxfId="168"/>
    <tableColumn id="2" xr3:uid="{747AB297-B14A-4BA4-8689-FEB354AC4F95}" name="Column2" headerRowDxfId="167" dataDxfId="166" headerRowCellStyle="Comma 23" dataCellStyle="Comma 91"/>
    <tableColumn id="3" xr3:uid="{0C28AE2D-6315-4CFB-ABCA-112D31EED06D}" name="Column3" headerRowDxfId="165" dataDxfId="164" headerRowCellStyle="Comma 23" dataCellStyle="Comma 91"/>
    <tableColumn id="4" xr3:uid="{D0E597B2-BA48-43C1-9E73-CED8E11A0805}" name="Column4" headerRowDxfId="163" dataDxfId="162" headerRowCellStyle="Comma 23" dataCellStyle="Comma 91"/>
    <tableColumn id="5" xr3:uid="{A0B01EC8-41D5-4D6C-A310-F833484D3CEE}" name="Column5" headerRowDxfId="161" dataDxfId="160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9" dataDxfId="158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3" headerRowCount="0" totalsRowCount="1" headerRowDxfId="157" tableBorderDxfId="156">
  <sortState xmlns:xlrd2="http://schemas.microsoft.com/office/spreadsheetml/2017/richdata2" ref="D3:E22">
    <sortCondition descending="1" ref="E3:E22"/>
  </sortState>
  <tableColumns count="2">
    <tableColumn id="1" xr3:uid="{A96DD6D1-F8DE-4060-9BA9-8900E1468E19}" name="Column1" totalsRowLabel="Total" headerRowDxfId="155" dataDxfId="154" totalsRowDxfId="153" dataCellStyle="Comma"/>
    <tableColumn id="2" xr3:uid="{91450C78-7CCB-4F94-94FA-DF14545F1D3F}" name="Column2" totalsRowFunction="sum" headerRowDxfId="152" dataDxfId="151" totalsRowDxfId="150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18" headerRowCount="0" totalsRowCount="1" headerRowDxfId="149" dataDxfId="148" totalsRowDxfId="146" tableBorderDxfId="147">
  <tableColumns count="2">
    <tableColumn id="1" xr3:uid="{72AC98D6-E45E-4DF6-A14B-4BD015434202}" name="Column1" totalsRowLabel="Total" headerRowDxfId="145" dataDxfId="144" totalsRowDxfId="143"/>
    <tableColumn id="2" xr3:uid="{A37AD7A7-DA5F-4CE8-9B04-705C84965CD0}" name="Column2" totalsRowFunction="sum" headerRowDxfId="142" dataDxfId="141" totalsRowDxfId="140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9" dataDxfId="138" tableBorderDxfId="137">
  <tableColumns count="3">
    <tableColumn id="1" xr3:uid="{7AF74353-B693-421C-94CB-8910BAE3EBED}" name="Column1" headerRowDxfId="136" dataDxfId="135" headerRowCellStyle="Comma" dataCellStyle="Comma"/>
    <tableColumn id="2" xr3:uid="{5BE05703-69D6-4778-A369-EFD11401E8CC}" name="Column2" headerRowDxfId="134" dataDxfId="133" dataCellStyle="Comma"/>
    <tableColumn id="3" xr3:uid="{6B7A022A-3909-4C55-8EAF-869C27A79067}" name="Column3" headerRowDxfId="132" dataDxfId="131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224" headerRowCount="0" totalsRowCount="1" headerRowDxfId="130" dataDxfId="129" totalsRowDxfId="127" tableBorderDxfId="128">
  <tableColumns count="6">
    <tableColumn id="1" xr3:uid="{74462203-F51D-4002-8F32-BCAD0482F806}" name="Column1" headerRowDxfId="126" dataDxfId="125" totalsRowDxfId="124"/>
    <tableColumn id="2" xr3:uid="{70F05C5D-F103-4EB8-9E3F-1116368C1876}" name="Column2" totalsRowFunction="sum" headerRowDxfId="123" dataDxfId="122" totalsRowDxfId="121" dataCellStyle="Comma"/>
    <tableColumn id="3" xr3:uid="{8FEE6692-E603-4C08-A5D1-EF52405D9975}" name="Column3" totalsRowFunction="sum" headerRowDxfId="120" dataDxfId="119" totalsRowDxfId="118">
      <calculatedColumnFormula>(M3/$M$224)*100</calculatedColumnFormula>
    </tableColumn>
    <tableColumn id="4" xr3:uid="{16090596-34B2-4A2A-BBBD-2706B22F55BF}" name="Column4" headerRowDxfId="117" dataDxfId="116" totalsRowDxfId="115"/>
    <tableColumn id="5" xr3:uid="{1B0B4F5E-61EC-4B99-BD61-E98F83B1C1F7}" name="Column5" totalsRowFunction="sum" headerRowDxfId="114" dataDxfId="113" totalsRowDxfId="112" dataCellStyle="Comma"/>
    <tableColumn id="6" xr3:uid="{B951C416-DA06-4EC1-8B01-210F57D4491B}" name="Column6" totalsRowFunction="sum" headerRowDxfId="111" dataDxfId="110" totalsRowDxfId="109">
      <calculatedColumnFormula>(P3/$P$224)*100</calculatedColumnFormula>
    </tableColumn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11:F44" headerRowCount="0" totalsRowShown="0" headerRowDxfId="108" dataDxfId="107" tableBorderDxfId="106">
  <tableColumns count="6">
    <tableColumn id="1" xr3:uid="{78841BF6-43DA-4DBE-8EEE-1E3B6F63D5E6}" name="Column1" headerRowDxfId="105" dataDxfId="104" dataCellStyle="Comma"/>
    <tableColumn id="2" xr3:uid="{88FBDED5-7427-4755-92E0-170CFD1E494F}" name="Column2" headerRowDxfId="103" dataDxfId="102" headerRowCellStyle="Comma 131" dataCellStyle="Comma 156"/>
    <tableColumn id="3" xr3:uid="{632F3559-7148-4B67-BC96-0CA9AFAAA8AC}" name="Column3" headerRowDxfId="101" dataDxfId="100" headerRowCellStyle="Comma" dataCellStyle="Comma">
      <calculatedColumnFormula>(#REF!/$B$44)*100</calculatedColumnFormula>
    </tableColumn>
    <tableColumn id="4" xr3:uid="{FCD85C03-FE85-4481-A44B-1596FFE4B9C4}" name="Column4" headerRowDxfId="99" dataDxfId="98"/>
    <tableColumn id="5" xr3:uid="{A4FB793C-E3AE-472C-B8E0-0A19D89EEAA9}" name="Column5" headerRowDxfId="97" dataDxfId="96" headerRowCellStyle="Comma 131" dataCellStyle="Comma 156"/>
    <tableColumn id="6" xr3:uid="{A2E9A875-1643-47C3-8010-D38F24E93191}" name="Column6" headerRowDxfId="95" dataDxfId="94" headerRowCellStyle="Comma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8:F294" headerRowCount="0" totalsRowCount="1" headerRowDxfId="93" dataDxfId="92" totalsRowDxfId="90" tableBorderDxfId="91">
  <tableColumns count="6">
    <tableColumn id="1" xr3:uid="{59C4F43B-6D52-4847-ADE4-0EDEE5A5C2B3}" name="Column1" headerRowDxfId="89" dataDxfId="88" totalsRowDxfId="87"/>
    <tableColumn id="2" xr3:uid="{4CBE6A36-6F71-44FF-84A8-64E5127D62D0}" name="Column2" totalsRowFunction="custom" headerRowDxfId="86" dataDxfId="85" totalsRowDxfId="84" headerRowCellStyle="Comma 131" dataCellStyle="Comma">
      <totalsRowFormula>SUM(B48:B293)</totalsRowFormula>
    </tableColumn>
    <tableColumn id="3" xr3:uid="{EED56315-C2D6-43DD-B12B-23576BF99A21}" name="Column3" totalsRowFunction="custom" headerRowDxfId="83" dataDxfId="82" totalsRowDxfId="81" headerRowCellStyle="Comma" dataCellStyle="Comma">
      <calculatedColumnFormula>(B48/$B$294)*100</calculatedColumnFormula>
      <totalsRowFormula>SUM(C48:C293)</totalsRowFormula>
    </tableColumn>
    <tableColumn id="4" xr3:uid="{AA078D42-ADA5-4CE1-B140-54C37E58C552}" name="Column4" headerRowDxfId="80" dataDxfId="79" totalsRowDxfId="78" dataCellStyle="Comma"/>
    <tableColumn id="5" xr3:uid="{7B4B35AB-E402-4914-80D5-A34ED3B6B6C7}" name="Column5" totalsRowFunction="custom" headerRowDxfId="77" dataDxfId="76" totalsRowDxfId="75" headerRowCellStyle="Comma 131" dataCellStyle="Comma">
      <totalsRowFormula>SUM(E48:E293)</totalsRowFormula>
    </tableColumn>
    <tableColumn id="6" xr3:uid="{81C8EB87-6996-4D35-B57B-2A0819CB857C}" name="Column6" totalsRowFunction="custom" headerRowDxfId="74" dataDxfId="73" totalsRowDxfId="72" headerRowCellStyle="Comma" dataCellStyle="Comma">
      <calculatedColumnFormula>(E48/$E$294)*100</calculatedColumnFormula>
      <totalsRowFormula>SUM(F48:F293)</totalsRow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2885555-50F3-4AB0-8337-D6DB2489CC1B}" name="Table6" displayName="Table6" ref="A2:E3" headerRowCount="0" totalsRowShown="0" headerRowDxfId="706" dataDxfId="705" tableBorderDxfId="704" headerRowCellStyle="Comma" dataCellStyle="Comma">
  <tableColumns count="5">
    <tableColumn id="1" xr3:uid="{FACA3649-13E6-4568-A291-D223151BD851}" name="Column1" headerRowDxfId="703" dataDxfId="702" dataCellStyle="Comma"/>
    <tableColumn id="2" xr3:uid="{C4CAF884-0961-4950-8D23-DE9210B1FBE9}" name="Column2" headerRowDxfId="701" dataDxfId="700" dataCellStyle="Comma"/>
    <tableColumn id="3" xr3:uid="{9604AFF0-429E-4EFF-8BE1-8AB31F867D6D}" name="Column3" headerRowDxfId="699" dataDxfId="698" dataCellStyle="Comma"/>
    <tableColumn id="4" xr3:uid="{452F2BF5-4EBF-41E9-9C54-8A08A5052C38}" name="Column4" headerRowDxfId="697" dataDxfId="696" dataCellStyle="Comma"/>
    <tableColumn id="5" xr3:uid="{C012D0A3-B07E-41B4-8232-EEBB1487A5A7}" name="Column5" headerRowDxfId="695" dataDxfId="694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71" dataDxfId="70" tableBorderDxfId="69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8" dataDxfId="67"/>
    <tableColumn id="2" xr3:uid="{25CB535C-FF1E-45E8-B631-D590B01E6694}" name="Column2" headerRowDxfId="66" dataDxfId="65" headerRowCellStyle="Comma" dataCellStyle="Comma"/>
    <tableColumn id="3" xr3:uid="{A42F55FC-CF02-4CD0-85FF-C88272F3B4A0}" name="Column3" headerRowDxfId="64" dataDxfId="63" headerRowCellStyle="Comma" dataCellStyle="Comma"/>
    <tableColumn id="4" xr3:uid="{54C3EB61-D76A-450F-BE9B-02774CEA5C69}" name="Column4" headerRowDxfId="62" dataDxfId="61" headerRowCellStyle="Comma" dataCellStyle="Comma"/>
    <tableColumn id="5" xr3:uid="{4493E70D-72C4-498F-8D6F-43183B62A803}" name="Column5" headerRowDxfId="60" dataDxfId="59" headerRowCellStyle="Comma" dataCellStyle="Comma"/>
    <tableColumn id="6" xr3:uid="{A3738FAA-606E-41E3-8511-028E1A1BF643}" name="Column6" headerRowDxfId="58" dataDxfId="57" headerRowCellStyle="Comma" dataCellStyle="Comma"/>
    <tableColumn id="7" xr3:uid="{89A0158B-EAD4-46EE-A920-31A6D92E1A05}" name="Column7" headerRowDxfId="56" dataDxfId="55" headerRowCellStyle="Comma" dataCellStyle="Comma"/>
    <tableColumn id="8" xr3:uid="{0559C84D-87FB-43B0-8C94-C9866C0E77B2}" name="Column8" headerRowDxfId="54" dataDxfId="53" headerRowCellStyle="Comma" dataCellStyle="Comma"/>
    <tableColumn id="9" xr3:uid="{D9FDE8BE-BC25-4BD5-9D1F-C31A61DD1064}" name="Column9" headerRowDxfId="52" dataDxfId="51" headerRowCellStyle="Comma" dataCellStyle="Comma"/>
    <tableColumn id="10" xr3:uid="{0E19C073-1A4F-4D32-9BAD-88B1D85DB1AC}" name="Column10" headerRowDxfId="50" dataDxfId="49" headerRowCellStyle="Comma" dataCellStyle="Comma"/>
    <tableColumn id="11" xr3:uid="{D90CCFFD-533F-41A5-ACE7-FFA70BA247A2}" name="Column11" headerRowDxfId="48" dataDxfId="47" headerRowCellStyle="Comma" dataCellStyle="Comma"/>
    <tableColumn id="12" xr3:uid="{442F3020-44DA-49F9-876B-7E4C93EB848C}" name="Column12" headerRowDxfId="46" dataDxfId="45" headerRowCellStyle="Comma" dataCellStyle="Comma"/>
    <tableColumn id="13" xr3:uid="{84005F93-C028-4C84-AD9B-EC35C9779A0F}" name="Column13" headerRowDxfId="44" dataDxfId="43" headerRowCellStyle="Comma" dataCellStyle="Comma"/>
    <tableColumn id="14" xr3:uid="{B796CE8D-7FBE-49AF-B30A-BF1C8379A110}" name="Column14" headerRowDxfId="42" dataDxfId="41" headerRowCellStyle="Comma" dataCellStyle="Comma"/>
    <tableColumn id="15" xr3:uid="{D99AC484-2A2C-4325-B0A6-96F4E6191F9C}" name="Column15" headerRowDxfId="40" dataDxfId="39" headerRowCellStyle="Comma" data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8" dataDxfId="37" tableBorderDxfId="36">
  <tableColumns count="4">
    <tableColumn id="1" xr3:uid="{029D07D0-2F96-49C9-A45A-3D78D15D59C1}" name="Column1" headerRowDxfId="35" dataDxfId="34" totalsRowDxfId="33" headerRowCellStyle="Comma" dataCellStyle="Comma" totalsRowCellStyle="Comma"/>
    <tableColumn id="2" xr3:uid="{9BA76139-E252-4662-9765-A3D2CFB0BEB6}" name="Column2" headerRowDxfId="32" dataDxfId="31" totalsRowDxfId="30"/>
    <tableColumn id="3" xr3:uid="{D0B33CA3-7C62-4346-A4B2-075ACB07A2E4}" name="Column3" headerRowDxfId="29" dataDxfId="28" totalsRowDxfId="27"/>
    <tableColumn id="4" xr3:uid="{60DD782C-D264-4171-A2EC-BECDF8EEBAB2}" name="Column4" headerRowDxfId="26" dataDxfId="25" totalsRowDxfId="24" headerRowCellStyle="Comma" dataCellStyle="Comma" totalsRow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9" headerRowCount="0" totalsRowCount="1" headerRowDxfId="23" dataDxfId="22" totalsRowDxfId="20" tableBorderDxfId="21">
  <tableColumns count="6">
    <tableColumn id="1" xr3:uid="{00000000-0010-0000-2000-000001000000}" name="Column1" headerRowDxfId="19" dataDxfId="18" totalsRowDxfId="17"/>
    <tableColumn id="3" xr3:uid="{00000000-0010-0000-2000-000003000000}" name="Column3" headerRowDxfId="16" dataDxfId="15" totalsRowDxfId="14" dataCellStyle="Comma"/>
    <tableColumn id="4" xr3:uid="{00000000-0010-0000-2000-000004000000}" name="Column4" headerRowDxfId="13" dataDxfId="12" totalsRowDxfId="11" dataCellStyle="Comma"/>
    <tableColumn id="7" xr3:uid="{2F040262-06C4-44C8-93F5-B11989C0B5CF}" name="Column5" headerRowDxfId="10" dataDxfId="9" totalsRowDxfId="8" dataCellStyle="Comma"/>
    <tableColumn id="5" xr3:uid="{E2EB4D29-A117-4D99-8B9C-D191B120D97D}" name="Column2" headerRowDxfId="7" dataDxfId="6" totalsRowDxfId="5" dataCellStyle="Comma"/>
    <tableColumn id="6" xr3:uid="{EE81CB2C-1F99-4794-A12B-4E8CB37749C3}" name="Column6" headerRowDxfId="4" dataDxfId="3" totalsRow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4D0BCC-A293-428C-A66A-C9F5EE8DE51C}" name="Table10" displayName="Table10" ref="A4:H12" headerRowCount="0" totalsRowShown="0" headerRowDxfId="693" dataDxfId="692" tableBorderDxfId="691" headerRowCellStyle="Comma" dataCellStyle="Comma">
  <tableColumns count="8">
    <tableColumn id="1" xr3:uid="{091070EB-DBFD-459D-8485-378596C5ED50}" name="Column1" headerRowDxfId="690" dataDxfId="689" dataCellStyle="Comma"/>
    <tableColumn id="2" xr3:uid="{4F58A2FE-8415-48CA-9D80-742C2C0F586D}" name="Column2" headerRowDxfId="688" dataDxfId="687" headerRowCellStyle="Comma 118" dataCellStyle="Comma"/>
    <tableColumn id="3" xr3:uid="{CFFCD062-1275-43B8-AFA6-BD1799C16CE9}" name="Column3" headerRowDxfId="686" dataDxfId="685" headerRowCellStyle="Comma" dataCellStyle="Comma"/>
    <tableColumn id="4" xr3:uid="{7CED60BB-9488-43BD-9340-A24BF2B52289}" name="Column4" headerRowDxfId="684" dataDxfId="683" headerRowCellStyle="Comma 118" dataCellStyle="Comma"/>
    <tableColumn id="5" xr3:uid="{9465CC20-CE61-4353-A684-79AA5A59C98A}" name="Column5" headerRowDxfId="682" dataDxfId="681" headerRowCellStyle="Comma" dataCellStyle="Comma"/>
    <tableColumn id="6" xr3:uid="{BD91CE31-EB51-4E47-B356-37E57B746380}" name="Column6" headerRowDxfId="680" dataDxfId="679" headerRowCellStyle="Comma 118" dataCellStyle="Comma"/>
    <tableColumn id="7" xr3:uid="{140FD43F-59E0-4B15-90E2-1D827B0C0E03}" name="Column7" headerRowDxfId="678" dataDxfId="677" headerRowCellStyle="Comma" dataCellStyle="Comma"/>
    <tableColumn id="8" xr3:uid="{192C0E34-886D-490D-80DE-BF36B2F0C1D9}" name="Column8" headerRowDxfId="676" dataDxfId="675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EFB9CF7-03EF-419A-B4BB-BA39FDAE947B}" name="Table11" displayName="Table11" ref="A4:H10" headerRowCount="0" totalsRowShown="0" headerRowDxfId="674" dataDxfId="673" tableBorderDxfId="672" headerRowCellStyle="Comma 118" dataCellStyle="Comma">
  <tableColumns count="8">
    <tableColumn id="1" xr3:uid="{54981B17-E646-41A3-A908-038EA636018D}" name="Column1" headerRowDxfId="671" dataDxfId="670"/>
    <tableColumn id="2" xr3:uid="{20856DC0-0104-49E8-A525-8D76D55BCC73}" name="Column2" headerRowDxfId="669" dataDxfId="668" headerRowCellStyle="Comma 118" dataCellStyle="Comma 118"/>
    <tableColumn id="3" xr3:uid="{CA74A0D4-71E9-4240-9E76-3F21240F43A0}" name="Column3" headerRowDxfId="667" dataDxfId="666" headerRowCellStyle="Comma" dataCellStyle="Comma"/>
    <tableColumn id="4" xr3:uid="{07AE79CA-EBDB-4D43-8A54-32439B223808}" name="Column4" headerRowDxfId="665" dataDxfId="664" headerRowCellStyle="Comma 118" dataCellStyle="Comma 118"/>
    <tableColumn id="5" xr3:uid="{1DE8115C-158B-473C-A4F7-CCA4D52C86D3}" name="Column5" headerRowDxfId="663" dataDxfId="662" headerRowCellStyle="Comma" dataCellStyle="Comma"/>
    <tableColumn id="6" xr3:uid="{4111C080-44FE-4B84-990E-CB023A14CCA3}" name="Column6" headerRowDxfId="661" dataDxfId="660" headerRowCellStyle="Comma 118" dataCellStyle="Comma 118"/>
    <tableColumn id="7" xr3:uid="{532A2172-B8E6-4384-A946-BE27B8C07B1D}" name="Column7" headerRowDxfId="659" dataDxfId="658" headerRowCellStyle="Comma" dataCellStyle="Comma"/>
    <tableColumn id="8" xr3:uid="{66C1AF27-71C0-4BDC-A628-A56A161A4EC8}" name="Column8" headerRowDxfId="657" dataDxfId="656" headerRowCellStyle="Comma" dataCellStyle="Comma">
      <calculatedColumnFormula>Table11[[#This Row],[Column6]]-Table11[[#This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03F9373-B679-4D93-A2BB-29C3867B131A}" name="Table1216" displayName="Table1216" ref="A4:H14" headerRowCount="0" totalsRowShown="0" headerRowDxfId="655" dataDxfId="654" tableBorderDxfId="653" headerRowCellStyle="Comma" dataCellStyle="Comma">
  <tableColumns count="8">
    <tableColumn id="1" xr3:uid="{ABE552D9-D54D-465D-8BDC-44F13314C219}" name="Column1" headerRowDxfId="652" dataDxfId="651"/>
    <tableColumn id="2" xr3:uid="{CD60F222-43D9-4BB8-A9BB-C3AFFC89AA2B}" name="Column2" headerRowDxfId="650" dataDxfId="649" headerRowCellStyle="Comma 118" dataCellStyle="Comma 118"/>
    <tableColumn id="3" xr3:uid="{A2173AFB-60AC-425A-B9A3-498D30313150}" name="Column3" headerRowDxfId="648" dataDxfId="647" headerRowCellStyle="Comma" dataCellStyle="Comma"/>
    <tableColumn id="4" xr3:uid="{2109C5CA-378D-4975-A080-E1C5E0F846AA}" name="Column4" headerRowDxfId="646" dataDxfId="645" headerRowCellStyle="Comma 118" dataCellStyle="Comma 118"/>
    <tableColumn id="5" xr3:uid="{A9DE474E-2109-4D82-BCC5-44017D5986EF}" name="Column5" headerRowDxfId="644" dataDxfId="643" headerRowCellStyle="Comma" dataCellStyle="Comma"/>
    <tableColumn id="6" xr3:uid="{3ED8EAAA-BB5B-46B3-B583-88694093A771}" name="Column6" headerRowDxfId="642" dataDxfId="641" headerRowCellStyle="Comma 118" dataCellStyle="Comma 118"/>
    <tableColumn id="7" xr3:uid="{7D510EFF-76B0-4539-8FC0-266CE03149AE}" name="Column7" headerRowDxfId="640" dataDxfId="639" headerRowCellStyle="Comma" dataCellStyle="Comma"/>
    <tableColumn id="8" xr3:uid="{DC346DBF-B959-437A-B53E-952847B13A02}" name="Column8" headerRowDxfId="638" dataDxfId="637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7C7808-5447-484F-A90C-D9E8865B61C3}" name="Table9492" displayName="Table9492" ref="E2:F5" headerRowCount="0" totalsRowShown="0" headerRowDxfId="636" dataDxfId="635" tableBorderDxfId="634">
  <tableColumns count="2">
    <tableColumn id="1" xr3:uid="{DA5088B8-A65D-45EE-B6E5-7102E0FD964E}" name="Column1" headerRowDxfId="633" dataDxfId="632"/>
    <tableColumn id="2" xr3:uid="{2EEA6DFD-357D-4AB1-9559-91D24D5539DA}" name="Column2" headerRowDxfId="631" dataDxfId="630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5C9B908-C4D4-414F-875C-E015B2CE11F2}" name="Table143" displayName="Table143" ref="C2:D26" headerRowCount="0" totalsRowShown="0" headerRowDxfId="629" dataDxfId="628" tableBorderDxfId="627" headerRowCellStyle="Comma">
  <tableColumns count="2">
    <tableColumn id="1" xr3:uid="{9F367F5E-EC58-450A-856F-0819725C6890}" name="Column1" headerRowDxfId="626" dataDxfId="625" headerRowCellStyle="Comma"/>
    <tableColumn id="2" xr3:uid="{4663B1C3-3435-46DD-B17A-F019F31DAA30}" name="Column2" headerRowDxfId="624" dataDxfId="623" headerRowCellStyle="Comma" dataCellStyle="Comma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8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55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4" t="s">
        <v>242</v>
      </c>
      <c r="B1" s="23"/>
      <c r="C1" s="23"/>
      <c r="D1" s="23"/>
      <c r="E1" s="23"/>
      <c r="F1" s="23"/>
      <c r="G1" s="572"/>
      <c r="H1" s="572"/>
    </row>
    <row r="2" spans="1:8" x14ac:dyDescent="0.3">
      <c r="A2" s="28"/>
    </row>
    <row r="3" spans="1:8" x14ac:dyDescent="0.3">
      <c r="A3" s="27" t="s">
        <v>710</v>
      </c>
      <c r="G3" s="24"/>
    </row>
    <row r="4" spans="1:8" x14ac:dyDescent="0.3">
      <c r="A4" s="27" t="s">
        <v>711</v>
      </c>
      <c r="G4" s="24"/>
    </row>
    <row r="5" spans="1:8" x14ac:dyDescent="0.3">
      <c r="A5" s="27" t="s">
        <v>712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328</v>
      </c>
    </row>
    <row r="30" spans="1:1" x14ac:dyDescent="0.3">
      <c r="A30" s="39" t="s">
        <v>329</v>
      </c>
    </row>
    <row r="31" spans="1:1" x14ac:dyDescent="0.3">
      <c r="A31" s="27" t="s">
        <v>330</v>
      </c>
    </row>
    <row r="32" spans="1:1" s="41" customFormat="1" ht="14.5" x14ac:dyDescent="0.35">
      <c r="A32" s="27" t="s">
        <v>651</v>
      </c>
    </row>
    <row r="33" spans="1:4" x14ac:dyDescent="0.3">
      <c r="A33" s="39" t="s">
        <v>323</v>
      </c>
    </row>
    <row r="34" spans="1:4" x14ac:dyDescent="0.3">
      <c r="A34" s="39" t="s">
        <v>324</v>
      </c>
    </row>
    <row r="35" spans="1:4" x14ac:dyDescent="0.3">
      <c r="A35" s="39" t="s">
        <v>325</v>
      </c>
    </row>
    <row r="36" spans="1:4" x14ac:dyDescent="0.3">
      <c r="A36" s="39" t="s">
        <v>326</v>
      </c>
    </row>
    <row r="37" spans="1:4" x14ac:dyDescent="0.3">
      <c r="A37" s="27" t="s">
        <v>331</v>
      </c>
      <c r="B37" s="27"/>
    </row>
    <row r="38" spans="1:4" x14ac:dyDescent="0.3">
      <c r="A38" s="27"/>
      <c r="B38" s="27"/>
    </row>
    <row r="39" spans="1:4" x14ac:dyDescent="0.3">
      <c r="A39" s="39"/>
      <c r="B39" s="39"/>
    </row>
    <row r="40" spans="1:4" ht="14.5" customHeight="1" x14ac:dyDescent="0.3">
      <c r="A40" s="27"/>
      <c r="B40" s="27"/>
      <c r="D40" s="23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39"/>
      <c r="D42" s="23"/>
    </row>
    <row r="43" spans="1:4" ht="14.5" customHeight="1" x14ac:dyDescent="0.3">
      <c r="A43" s="27"/>
      <c r="D43" s="23"/>
    </row>
    <row r="44" spans="1:4" x14ac:dyDescent="0.3">
      <c r="A44" s="27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  <row r="48" spans="1:4" x14ac:dyDescent="0.3">
      <c r="A48" s="27"/>
    </row>
  </sheetData>
  <mergeCells count="1">
    <mergeCell ref="G1:H1"/>
  </mergeCells>
  <hyperlinks>
    <hyperlink ref="A3" location="'Tab 1 Nov 2025 revisions'!A1" display="Table 1: November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35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9.1796875" style="1" customWidth="1"/>
    <col min="8" max="8" width="17.81640625" style="368" bestFit="1" customWidth="1"/>
    <col min="9" max="9" width="16.453125" style="1" bestFit="1" customWidth="1"/>
    <col min="10" max="10" width="17.453125" style="1" bestFit="1" customWidth="1"/>
    <col min="11" max="11" width="13.81640625" style="1" bestFit="1" customWidth="1"/>
    <col min="12" max="14" width="9.1796875" style="1"/>
    <col min="15" max="15" width="12.7265625" style="1" bestFit="1" customWidth="1"/>
    <col min="16" max="16384" width="9.1796875" style="1"/>
  </cols>
  <sheetData>
    <row r="1" spans="1:15" ht="14.5" customHeight="1" x14ac:dyDescent="0.3">
      <c r="A1" s="3" t="s">
        <v>729</v>
      </c>
      <c r="B1" s="3"/>
      <c r="C1" s="3"/>
      <c r="D1" s="3"/>
      <c r="E1" s="3"/>
      <c r="H1" s="384" t="s">
        <v>239</v>
      </c>
      <c r="I1" s="3"/>
      <c r="J1" s="3"/>
      <c r="K1" s="3"/>
      <c r="L1" s="3"/>
      <c r="M1" s="3"/>
      <c r="N1" s="3"/>
    </row>
    <row r="2" spans="1:15" ht="13" x14ac:dyDescent="0.3">
      <c r="A2" s="227" t="s">
        <v>394</v>
      </c>
      <c r="B2" s="44" t="s">
        <v>220</v>
      </c>
      <c r="C2" s="227" t="s">
        <v>290</v>
      </c>
      <c r="D2" s="227" t="s">
        <v>289</v>
      </c>
      <c r="E2" s="227" t="s">
        <v>518</v>
      </c>
      <c r="F2" s="26" t="s">
        <v>517</v>
      </c>
      <c r="G2" s="11"/>
    </row>
    <row r="3" spans="1:15" ht="12.65" customHeight="1" x14ac:dyDescent="0.25">
      <c r="A3" s="597">
        <v>2025</v>
      </c>
      <c r="B3" s="21" t="s">
        <v>221</v>
      </c>
      <c r="C3" s="46">
        <v>10139.539847369997</v>
      </c>
      <c r="D3" s="46">
        <v>13084.018780820048</v>
      </c>
      <c r="E3" s="226">
        <f>-'Tab9 Trade Balance'!$D3</f>
        <v>-13084.018780820048</v>
      </c>
      <c r="F3" s="45">
        <f>'Tab9 Trade Balance'!$C3-'Tab9 Trade Balance'!$D3</f>
        <v>-2944.478933450051</v>
      </c>
      <c r="G3" s="9"/>
    </row>
    <row r="4" spans="1:15" ht="12.65" customHeight="1" x14ac:dyDescent="0.25">
      <c r="A4" s="598"/>
      <c r="B4" s="21" t="s">
        <v>222</v>
      </c>
      <c r="C4" s="46">
        <v>9681.6443227599993</v>
      </c>
      <c r="D4" s="46">
        <v>11756.301897049922</v>
      </c>
      <c r="E4" s="57">
        <f>-'Tab9 Trade Balance'!$D4</f>
        <v>-11756.301897049922</v>
      </c>
      <c r="F4" s="46">
        <f>'Tab9 Trade Balance'!$C4-'Tab9 Trade Balance'!$D4</f>
        <v>-2074.6575742899222</v>
      </c>
      <c r="G4" s="9"/>
    </row>
    <row r="5" spans="1:15" ht="12.65" customHeight="1" x14ac:dyDescent="0.25">
      <c r="A5" s="598"/>
      <c r="B5" s="21" t="s">
        <v>223</v>
      </c>
      <c r="C5" s="46">
        <v>10086.950392259998</v>
      </c>
      <c r="D5" s="46">
        <v>12394.523416063024</v>
      </c>
      <c r="E5" s="57">
        <f>-'Tab9 Trade Balance'!$D5</f>
        <v>-12394.523416063024</v>
      </c>
      <c r="F5" s="46">
        <f>'Tab9 Trade Balance'!$C5-'Tab9 Trade Balance'!$D5</f>
        <v>-2307.5730238030264</v>
      </c>
      <c r="G5" s="9"/>
    </row>
    <row r="6" spans="1:15" ht="12.65" customHeight="1" x14ac:dyDescent="0.25">
      <c r="A6" s="598"/>
      <c r="B6" s="21" t="s">
        <v>224</v>
      </c>
      <c r="C6" s="46">
        <v>10571.030594490001</v>
      </c>
      <c r="D6" s="46">
        <v>12708.824177229904</v>
      </c>
      <c r="E6" s="57">
        <f>-'Tab9 Trade Balance'!$D6</f>
        <v>-12708.824177229904</v>
      </c>
      <c r="F6" s="46">
        <f>'Tab9 Trade Balance'!$C6-'Tab9 Trade Balance'!$D6</f>
        <v>-2137.7935827399033</v>
      </c>
      <c r="G6" s="9"/>
    </row>
    <row r="7" spans="1:15" ht="12.65" customHeight="1" x14ac:dyDescent="0.25">
      <c r="A7" s="598"/>
      <c r="B7" s="21" t="s">
        <v>225</v>
      </c>
      <c r="C7" s="46">
        <v>11650.02078841</v>
      </c>
      <c r="D7" s="46">
        <v>11535.876499581556</v>
      </c>
      <c r="E7" s="57">
        <f>-'Tab9 Trade Balance'!$D7</f>
        <v>-11535.876499581556</v>
      </c>
      <c r="F7" s="46">
        <f>'Tab9 Trade Balance'!$C7-'Tab9 Trade Balance'!$D7</f>
        <v>114.14428882844368</v>
      </c>
      <c r="G7" s="9"/>
    </row>
    <row r="8" spans="1:15" ht="12.65" customHeight="1" x14ac:dyDescent="0.25">
      <c r="A8" s="598"/>
      <c r="B8" s="21" t="s">
        <v>226</v>
      </c>
      <c r="C8" s="46">
        <v>11970.795074380012</v>
      </c>
      <c r="D8" s="46">
        <v>11301.789275339996</v>
      </c>
      <c r="E8" s="57">
        <f>-'Tab9 Trade Balance'!$D8</f>
        <v>-11301.789275339996</v>
      </c>
      <c r="F8" s="46">
        <f>'Tab9 Trade Balance'!$C8-'Tab9 Trade Balance'!$D8</f>
        <v>669.00579904001643</v>
      </c>
      <c r="G8" s="9"/>
    </row>
    <row r="9" spans="1:15" ht="12.65" customHeight="1" x14ac:dyDescent="0.25">
      <c r="A9" s="598"/>
      <c r="B9" s="21" t="s">
        <v>227</v>
      </c>
      <c r="C9" s="46">
        <v>12589.186209970001</v>
      </c>
      <c r="D9" s="46">
        <v>12569.799254869855</v>
      </c>
      <c r="E9" s="57">
        <f>-'Tab9 Trade Balance'!$D9</f>
        <v>-12569.799254869855</v>
      </c>
      <c r="F9" s="46">
        <f>'Tab9 Trade Balance'!$C9-'Tab9 Trade Balance'!$D9</f>
        <v>19.386955100146224</v>
      </c>
      <c r="G9" s="9"/>
    </row>
    <row r="10" spans="1:15" ht="12.65" customHeight="1" x14ac:dyDescent="0.25">
      <c r="A10" s="598"/>
      <c r="B10" s="21" t="s">
        <v>228</v>
      </c>
      <c r="C10" s="46">
        <v>7662.4064959200005</v>
      </c>
      <c r="D10" s="46">
        <v>12938.729886240913</v>
      </c>
      <c r="E10" s="57">
        <f>-'Tab9 Trade Balance'!$D10</f>
        <v>-12938.729886240913</v>
      </c>
      <c r="F10" s="46">
        <f>'Tab9 Trade Balance'!$C10-'Tab9 Trade Balance'!$D10</f>
        <v>-5276.3233903209129</v>
      </c>
      <c r="G10" s="9"/>
    </row>
    <row r="11" spans="1:15" ht="12.65" customHeight="1" x14ac:dyDescent="0.25">
      <c r="A11" s="598"/>
      <c r="B11" s="21" t="s">
        <v>229</v>
      </c>
      <c r="C11" s="46">
        <v>7428.1780786300023</v>
      </c>
      <c r="D11" s="46">
        <v>10843.216321500089</v>
      </c>
      <c r="E11" s="57">
        <f>-'Tab9 Trade Balance'!$D11</f>
        <v>-10843.216321500089</v>
      </c>
      <c r="F11" s="46">
        <f>'Tab9 Trade Balance'!$C11-'Tab9 Trade Balance'!$D11</f>
        <v>-3415.0382428700868</v>
      </c>
      <c r="G11" s="9"/>
    </row>
    <row r="12" spans="1:15" ht="12.65" customHeight="1" x14ac:dyDescent="0.25">
      <c r="A12" s="598"/>
      <c r="B12" s="21" t="s">
        <v>230</v>
      </c>
      <c r="C12" s="46">
        <v>13185.741353920012</v>
      </c>
      <c r="D12" s="46">
        <v>15726.346016270116</v>
      </c>
      <c r="E12" s="57">
        <f>-'Tab9 Trade Balance'!$D12</f>
        <v>-15726.346016270116</v>
      </c>
      <c r="F12" s="46">
        <f>'Tab9 Trade Balance'!$C12-'Tab9 Trade Balance'!$D12</f>
        <v>-2540.6046623501043</v>
      </c>
      <c r="G12" s="9"/>
      <c r="K12" s="4"/>
      <c r="O12" s="4"/>
    </row>
    <row r="13" spans="1:15" ht="12.65" customHeight="1" x14ac:dyDescent="0.25">
      <c r="A13" s="598"/>
      <c r="B13" s="21" t="s">
        <v>231</v>
      </c>
      <c r="C13" s="46">
        <v>9967.5657362599886</v>
      </c>
      <c r="D13" s="46">
        <v>14411.664441810044</v>
      </c>
      <c r="E13" s="57">
        <f>-'Tab9 Trade Balance'!$D13</f>
        <v>-14411.664441810044</v>
      </c>
      <c r="F13" s="46">
        <f>'Tab9 Trade Balance'!$C13-'Tab9 Trade Balance'!$D13</f>
        <v>-4444.0987055500555</v>
      </c>
      <c r="G13" s="9"/>
      <c r="K13" s="4"/>
      <c r="O13" s="4"/>
    </row>
    <row r="14" spans="1:15" ht="12.65" customHeight="1" x14ac:dyDescent="0.25">
      <c r="A14" s="599"/>
      <c r="B14" s="21" t="s">
        <v>232</v>
      </c>
      <c r="C14" s="46">
        <v>10715.369058170008</v>
      </c>
      <c r="D14" s="46">
        <v>11106.106186861121</v>
      </c>
      <c r="E14" s="57">
        <f>-'Tab9 Trade Balance'!$D14</f>
        <v>-11106.106186861121</v>
      </c>
      <c r="F14" s="46">
        <f>'Tab9 Trade Balance'!$C14-'Tab9 Trade Balance'!$D14</f>
        <v>-390.73712869111296</v>
      </c>
      <c r="G14" s="9"/>
      <c r="H14" s="254"/>
      <c r="K14" s="4"/>
      <c r="O14" s="4"/>
    </row>
    <row r="15" spans="1:15" ht="12.65" customHeight="1" x14ac:dyDescent="0.25">
      <c r="A15" s="570">
        <v>2026</v>
      </c>
      <c r="B15" s="21" t="s">
        <v>221</v>
      </c>
      <c r="C15" s="47">
        <v>11437.551189810001</v>
      </c>
      <c r="D15" s="47">
        <v>11244.308151029974</v>
      </c>
      <c r="E15" s="225">
        <f>-'Tab9 Trade Balance'!$D15</f>
        <v>-11244.308151029974</v>
      </c>
      <c r="F15" s="47">
        <f>'Tab9 Trade Balance'!$C15-'Tab9 Trade Balance'!$D15</f>
        <v>193.24303878002684</v>
      </c>
      <c r="G15" s="9"/>
      <c r="H15" s="254"/>
      <c r="I15" s="8"/>
      <c r="K15" s="4"/>
      <c r="O15" s="4"/>
    </row>
    <row r="16" spans="1:15" x14ac:dyDescent="0.25">
      <c r="D16" s="224"/>
      <c r="E16" s="224"/>
      <c r="F16" s="223"/>
      <c r="H16" s="254"/>
      <c r="I16" s="8"/>
      <c r="K16" s="4"/>
      <c r="O16" s="4"/>
    </row>
    <row r="17" spans="2:15" x14ac:dyDescent="0.25">
      <c r="C17" s="223"/>
      <c r="D17" s="223"/>
      <c r="E17" s="223"/>
      <c r="F17" s="223"/>
      <c r="K17" s="4"/>
      <c r="O17" s="4"/>
    </row>
    <row r="18" spans="2:15" x14ac:dyDescent="0.25">
      <c r="C18" s="4"/>
      <c r="D18" s="4"/>
      <c r="E18" s="223"/>
      <c r="F18" s="223"/>
      <c r="K18" s="4"/>
    </row>
    <row r="19" spans="2:15" ht="13" x14ac:dyDescent="0.3">
      <c r="C19" s="8"/>
      <c r="D19" s="8"/>
      <c r="F19" s="9"/>
      <c r="H19" s="376"/>
      <c r="I19" s="3"/>
      <c r="J19" s="3"/>
      <c r="K19" s="66"/>
      <c r="L19" s="3"/>
      <c r="M19" s="3"/>
      <c r="N19" s="3"/>
    </row>
    <row r="20" spans="2:15" x14ac:dyDescent="0.25">
      <c r="C20" s="8"/>
      <c r="D20" s="8"/>
      <c r="K20" s="4"/>
    </row>
    <row r="21" spans="2:15" x14ac:dyDescent="0.25">
      <c r="B21" s="15"/>
      <c r="C21" s="222"/>
      <c r="E21" s="8"/>
      <c r="G21" s="8"/>
      <c r="H21" s="4"/>
      <c r="K21" s="4"/>
    </row>
    <row r="22" spans="2:15" ht="13" x14ac:dyDescent="0.3">
      <c r="B22" s="15"/>
      <c r="C22" s="222"/>
      <c r="E22" s="8"/>
      <c r="G22" s="8"/>
      <c r="H22" s="66"/>
    </row>
    <row r="23" spans="2:15" x14ac:dyDescent="0.25">
      <c r="B23" s="15"/>
      <c r="C23" s="222"/>
      <c r="E23" s="8"/>
      <c r="H23" s="2"/>
      <c r="I23" s="4"/>
      <c r="J23" s="4"/>
    </row>
    <row r="24" spans="2:15" x14ac:dyDescent="0.25">
      <c r="B24" s="15"/>
      <c r="C24" s="222"/>
      <c r="E24" s="8"/>
      <c r="F24" s="8"/>
      <c r="G24" s="4"/>
      <c r="H24" s="385"/>
    </row>
    <row r="25" spans="2:15" x14ac:dyDescent="0.25">
      <c r="E25" s="8"/>
      <c r="F25" s="8"/>
      <c r="G25" s="8"/>
      <c r="H25" s="4"/>
    </row>
    <row r="26" spans="2:15" x14ac:dyDescent="0.25">
      <c r="E26" s="8"/>
      <c r="F26" s="8"/>
      <c r="G26" s="8"/>
    </row>
    <row r="27" spans="2:15" x14ac:dyDescent="0.25">
      <c r="E27" s="8"/>
      <c r="F27" s="8"/>
      <c r="G27" s="8"/>
    </row>
    <row r="28" spans="2:15" x14ac:dyDescent="0.25">
      <c r="E28" s="8"/>
      <c r="F28" s="8"/>
      <c r="G28" s="8"/>
    </row>
    <row r="29" spans="2:15" x14ac:dyDescent="0.25">
      <c r="E29" s="8"/>
      <c r="F29" s="8"/>
      <c r="G29" s="8"/>
    </row>
    <row r="30" spans="2:15" x14ac:dyDescent="0.25">
      <c r="E30" s="8"/>
      <c r="F30" s="8"/>
      <c r="G30" s="8"/>
    </row>
    <row r="31" spans="2:15" x14ac:dyDescent="0.25">
      <c r="E31" s="8"/>
      <c r="F31" s="8"/>
      <c r="G31" s="8"/>
    </row>
    <row r="32" spans="2:15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1">
    <mergeCell ref="A3:A14"/>
  </mergeCells>
  <phoneticPr fontId="4" type="noConversion"/>
  <hyperlinks>
    <hyperlink ref="H1" location="'Table of Content'!A1" display="Table of Content" xr:uid="{8E88BED9-DAFE-4DC7-A6FB-AE6461B5B34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75"/>
  <sheetViews>
    <sheetView zoomScaleNormal="100" workbookViewId="0">
      <selection activeCell="H1" sqref="H1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730</v>
      </c>
      <c r="E1" s="11"/>
      <c r="F1" s="49" t="s">
        <v>239</v>
      </c>
      <c r="K1" s="11"/>
      <c r="L1" s="11"/>
      <c r="M1" s="11"/>
    </row>
    <row r="2" spans="1:13" ht="13" x14ac:dyDescent="0.3">
      <c r="A2" s="227" t="s">
        <v>244</v>
      </c>
      <c r="B2" s="227" t="s">
        <v>243</v>
      </c>
      <c r="C2" s="227" t="s">
        <v>219</v>
      </c>
      <c r="D2" s="26" t="s">
        <v>459</v>
      </c>
    </row>
    <row r="3" spans="1:13" ht="14.5" x14ac:dyDescent="0.35">
      <c r="A3" s="510" t="s">
        <v>256</v>
      </c>
      <c r="B3" s="504">
        <v>1273.9489950299997</v>
      </c>
      <c r="C3" s="504">
        <v>53.924648040000001</v>
      </c>
      <c r="D3" s="175">
        <f>Table1637[[#This Row],[Column2]]-Table1637[[#This Row],[Column3]]</f>
        <v>1220.0243469899997</v>
      </c>
      <c r="I3" s="18"/>
      <c r="J3" s="18"/>
    </row>
    <row r="4" spans="1:13" ht="14.5" x14ac:dyDescent="0.35">
      <c r="A4" s="511" t="s">
        <v>245</v>
      </c>
      <c r="B4" s="505">
        <v>775.57119573999978</v>
      </c>
      <c r="C4" s="505">
        <v>27.772902020000004</v>
      </c>
      <c r="D4" s="174">
        <f>Table1637[[#This Row],[Column2]]-Table1637[[#This Row],[Column3]]</f>
        <v>747.79829371999972</v>
      </c>
      <c r="I4" s="18"/>
      <c r="J4" s="18"/>
    </row>
    <row r="5" spans="1:13" ht="14.5" x14ac:dyDescent="0.35">
      <c r="A5" s="511" t="s">
        <v>266</v>
      </c>
      <c r="B5" s="505">
        <v>590.09228424000003</v>
      </c>
      <c r="C5" s="505">
        <v>92.421630820000004</v>
      </c>
      <c r="D5" s="174">
        <f>Table1637[[#This Row],[Column2]]-Table1637[[#This Row],[Column3]]</f>
        <v>497.67065342000001</v>
      </c>
      <c r="I5" s="18"/>
      <c r="J5" s="18"/>
    </row>
    <row r="6" spans="1:13" ht="14.5" x14ac:dyDescent="0.35">
      <c r="A6" s="511" t="s">
        <v>246</v>
      </c>
      <c r="B6" s="505">
        <v>2289.1105271200017</v>
      </c>
      <c r="C6" s="505">
        <v>1836.1717855799955</v>
      </c>
      <c r="D6" s="174">
        <f>Table1637[[#This Row],[Column2]]-Table1637[[#This Row],[Column3]]</f>
        <v>452.93874154000628</v>
      </c>
      <c r="I6" s="18"/>
      <c r="J6" s="18"/>
    </row>
    <row r="7" spans="1:13" ht="14.5" x14ac:dyDescent="0.35">
      <c r="A7" s="511" t="s">
        <v>615</v>
      </c>
      <c r="B7" s="505">
        <v>452.57704581999997</v>
      </c>
      <c r="C7" s="505">
        <v>71.976958009999962</v>
      </c>
      <c r="D7" s="174">
        <f>Table1637[[#This Row],[Column2]]-Table1637[[#This Row],[Column3]]</f>
        <v>380.60008780999999</v>
      </c>
      <c r="I7" s="18"/>
      <c r="J7" s="18"/>
    </row>
    <row r="8" spans="1:13" ht="14.5" x14ac:dyDescent="0.35">
      <c r="A8" s="511" t="s">
        <v>248</v>
      </c>
      <c r="B8" s="505">
        <v>389.22617521999996</v>
      </c>
      <c r="C8" s="505">
        <v>50.936196349999946</v>
      </c>
      <c r="D8" s="174">
        <f>Table1637[[#This Row],[Column2]]-Table1637[[#This Row],[Column3]]</f>
        <v>338.28997887000003</v>
      </c>
      <c r="I8" s="18"/>
      <c r="J8" s="18"/>
    </row>
    <row r="9" spans="1:13" ht="14.5" x14ac:dyDescent="0.35">
      <c r="A9" s="511" t="s">
        <v>251</v>
      </c>
      <c r="B9" s="505">
        <v>289.02248230999999</v>
      </c>
      <c r="C9" s="505">
        <v>20.251721319999994</v>
      </c>
      <c r="D9" s="174">
        <f>Table1637[[#This Row],[Column2]]-Table1637[[#This Row],[Column3]]</f>
        <v>268.77076098999999</v>
      </c>
      <c r="I9" s="18"/>
      <c r="J9" s="18"/>
    </row>
    <row r="10" spans="1:13" ht="14.5" x14ac:dyDescent="0.35">
      <c r="A10" s="511" t="s">
        <v>247</v>
      </c>
      <c r="B10" s="505">
        <v>1080.4591263199993</v>
      </c>
      <c r="C10" s="505">
        <v>841.92504431999987</v>
      </c>
      <c r="D10" s="174">
        <f>Table1637[[#This Row],[Column2]]-Table1637[[#This Row],[Column3]]</f>
        <v>238.53408199999944</v>
      </c>
      <c r="I10" s="18"/>
      <c r="J10" s="18"/>
    </row>
    <row r="11" spans="1:13" ht="14.5" x14ac:dyDescent="0.35">
      <c r="A11" s="511" t="s">
        <v>285</v>
      </c>
      <c r="B11" s="505">
        <v>128.98030589000004</v>
      </c>
      <c r="C11" s="505">
        <v>10.635865830000006</v>
      </c>
      <c r="D11" s="174">
        <f>Table1637[[#This Row],[Column2]]-Table1637[[#This Row],[Column3]]</f>
        <v>118.34444006000004</v>
      </c>
      <c r="I11" s="18"/>
      <c r="J11" s="18"/>
    </row>
    <row r="12" spans="1:13" ht="14.5" x14ac:dyDescent="0.35">
      <c r="A12" s="511" t="s">
        <v>249</v>
      </c>
      <c r="B12" s="505">
        <v>317.32390033999991</v>
      </c>
      <c r="C12" s="505">
        <v>216.91952977999981</v>
      </c>
      <c r="D12" s="174">
        <f>Table1637[[#This Row],[Column2]]-Table1637[[#This Row],[Column3]]</f>
        <v>100.4043705600001</v>
      </c>
      <c r="I12" s="18"/>
      <c r="J12" s="18"/>
    </row>
    <row r="13" spans="1:13" ht="14.5" x14ac:dyDescent="0.35">
      <c r="A13" s="511" t="s">
        <v>559</v>
      </c>
      <c r="B13" s="505">
        <v>84.147375749999995</v>
      </c>
      <c r="C13" s="505">
        <v>2.4080496299999994</v>
      </c>
      <c r="D13" s="174">
        <f>Table1637[[#This Row],[Column2]]-Table1637[[#This Row],[Column3]]</f>
        <v>81.739326120000001</v>
      </c>
      <c r="I13" s="18"/>
      <c r="J13" s="18"/>
    </row>
    <row r="14" spans="1:13" ht="14.5" x14ac:dyDescent="0.35">
      <c r="A14" s="511" t="s">
        <v>731</v>
      </c>
      <c r="B14" s="505">
        <v>167.40881948000001</v>
      </c>
      <c r="C14" s="505">
        <v>93.794423020000039</v>
      </c>
      <c r="D14" s="174">
        <f>Table1637[[#This Row],[Column2]]-Table1637[[#This Row],[Column3]]</f>
        <v>73.614396459999966</v>
      </c>
      <c r="I14" s="18"/>
      <c r="J14" s="18"/>
    </row>
    <row r="15" spans="1:13" ht="14.5" x14ac:dyDescent="0.35">
      <c r="A15" s="511" t="s">
        <v>254</v>
      </c>
      <c r="B15" s="505">
        <v>70.51445543999985</v>
      </c>
      <c r="C15" s="505">
        <v>15.483680820000005</v>
      </c>
      <c r="D15" s="174">
        <f>Table1637[[#This Row],[Column2]]-Table1637[[#This Row],[Column3]]</f>
        <v>55.030774619999846</v>
      </c>
      <c r="I15" s="18"/>
      <c r="J15" s="18"/>
    </row>
    <row r="16" spans="1:13" ht="14.5" x14ac:dyDescent="0.35">
      <c r="A16" s="511" t="s">
        <v>258</v>
      </c>
      <c r="B16" s="505">
        <v>53.390624869999989</v>
      </c>
      <c r="C16" s="505">
        <v>0.95889986000000027</v>
      </c>
      <c r="D16" s="174">
        <f>Table1637[[#This Row],[Column2]]-Table1637[[#This Row],[Column3]]</f>
        <v>52.431725009999987</v>
      </c>
      <c r="I16" s="18"/>
      <c r="J16" s="18"/>
    </row>
    <row r="17" spans="1:10" ht="14.5" x14ac:dyDescent="0.35">
      <c r="A17" s="511" t="s">
        <v>253</v>
      </c>
      <c r="B17" s="505">
        <v>54.78034219000002</v>
      </c>
      <c r="C17" s="505">
        <v>25.568096409999985</v>
      </c>
      <c r="D17" s="174">
        <f>Table1637[[#This Row],[Column2]]-Table1637[[#This Row],[Column3]]</f>
        <v>29.212245780000035</v>
      </c>
      <c r="I17" s="18"/>
      <c r="J17" s="18"/>
    </row>
    <row r="18" spans="1:10" ht="14.5" x14ac:dyDescent="0.35">
      <c r="A18" s="511" t="s">
        <v>236</v>
      </c>
      <c r="B18" s="505">
        <v>27.847888299999997</v>
      </c>
      <c r="C18" s="505">
        <v>0.70450971000000007</v>
      </c>
      <c r="D18" s="174">
        <f>Table1637[[#This Row],[Column2]]-Table1637[[#This Row],[Column3]]</f>
        <v>27.143378589999998</v>
      </c>
      <c r="I18" s="18"/>
      <c r="J18" s="18"/>
    </row>
    <row r="19" spans="1:10" ht="14.5" x14ac:dyDescent="0.35">
      <c r="A19" s="511" t="s">
        <v>613</v>
      </c>
      <c r="B19" s="505">
        <v>75.603443929999997</v>
      </c>
      <c r="C19" s="505">
        <v>49.443255530000009</v>
      </c>
      <c r="D19" s="174">
        <f>Table1637[[#This Row],[Column2]]-Table1637[[#This Row],[Column3]]</f>
        <v>26.160188399999988</v>
      </c>
      <c r="I19" s="18"/>
      <c r="J19" s="18"/>
    </row>
    <row r="20" spans="1:10" ht="14.5" x14ac:dyDescent="0.35">
      <c r="A20" s="511" t="s">
        <v>614</v>
      </c>
      <c r="B20" s="505">
        <v>35.94751539</v>
      </c>
      <c r="C20" s="505">
        <v>10.808934089999999</v>
      </c>
      <c r="D20" s="174">
        <f>Table1637[[#This Row],[Column2]]-Table1637[[#This Row],[Column3]]</f>
        <v>25.138581299999998</v>
      </c>
      <c r="I20" s="18"/>
      <c r="J20" s="18"/>
    </row>
    <row r="21" spans="1:10" ht="14.5" x14ac:dyDescent="0.35">
      <c r="A21" s="511" t="s">
        <v>527</v>
      </c>
      <c r="B21" s="505">
        <v>28.840177149999999</v>
      </c>
      <c r="C21" s="505">
        <v>7.2983938299999993</v>
      </c>
      <c r="D21" s="174">
        <f>Table1637[[#This Row],[Column2]]-Table1637[[#This Row],[Column3]]</f>
        <v>21.54178332</v>
      </c>
      <c r="I21" s="18"/>
      <c r="J21" s="18"/>
    </row>
    <row r="22" spans="1:10" ht="14.5" x14ac:dyDescent="0.35">
      <c r="A22" s="511" t="s">
        <v>261</v>
      </c>
      <c r="B22" s="505">
        <v>18.0392437</v>
      </c>
      <c r="C22" s="505">
        <v>2.1623472500000003</v>
      </c>
      <c r="D22" s="174">
        <f>Table1637[[#This Row],[Column2]]-Table1637[[#This Row],[Column3]]</f>
        <v>15.87689645</v>
      </c>
      <c r="I22" s="18"/>
      <c r="J22" s="18"/>
    </row>
    <row r="23" spans="1:10" ht="14.5" x14ac:dyDescent="0.35">
      <c r="A23" s="511" t="s">
        <v>610</v>
      </c>
      <c r="B23" s="505">
        <v>13.225947320000001</v>
      </c>
      <c r="C23" s="505"/>
      <c r="D23" s="174">
        <f>Table1637[[#This Row],[Column2]]-Table1637[[#This Row],[Column3]]</f>
        <v>13.225947320000001</v>
      </c>
      <c r="I23" s="18"/>
      <c r="J23" s="18"/>
    </row>
    <row r="24" spans="1:10" ht="14.5" x14ac:dyDescent="0.35">
      <c r="A24" s="511" t="s">
        <v>263</v>
      </c>
      <c r="B24" s="505">
        <v>17.076272740000011</v>
      </c>
      <c r="C24" s="505">
        <v>3.9074051700000019</v>
      </c>
      <c r="D24" s="174">
        <f>Table1637[[#This Row],[Column2]]-Table1637[[#This Row],[Column3]]</f>
        <v>13.168867570000009</v>
      </c>
      <c r="I24" s="18"/>
      <c r="J24" s="18"/>
    </row>
    <row r="25" spans="1:10" ht="14.5" x14ac:dyDescent="0.35">
      <c r="A25" s="511" t="s">
        <v>674</v>
      </c>
      <c r="B25" s="505">
        <v>12.538226009999999</v>
      </c>
      <c r="C25" s="505"/>
      <c r="D25" s="174">
        <f>Table1637[[#This Row],[Column2]]-Table1637[[#This Row],[Column3]]</f>
        <v>12.538226009999999</v>
      </c>
      <c r="I25" s="18"/>
      <c r="J25" s="18"/>
    </row>
    <row r="26" spans="1:10" ht="14.5" x14ac:dyDescent="0.35">
      <c r="A26" s="511" t="s">
        <v>269</v>
      </c>
      <c r="B26" s="505">
        <v>11.631910590000002</v>
      </c>
      <c r="C26" s="505">
        <v>2.50487E-2</v>
      </c>
      <c r="D26" s="174">
        <f>Table1637[[#This Row],[Column2]]-Table1637[[#This Row],[Column3]]</f>
        <v>11.606861890000003</v>
      </c>
      <c r="I26" s="18"/>
      <c r="J26" s="18"/>
    </row>
    <row r="27" spans="1:10" ht="14.5" x14ac:dyDescent="0.35">
      <c r="A27" s="511" t="s">
        <v>295</v>
      </c>
      <c r="B27" s="505">
        <v>8.6732235000000024</v>
      </c>
      <c r="C27" s="505"/>
      <c r="D27" s="174">
        <f>Table1637[[#This Row],[Column2]]-Table1637[[#This Row],[Column3]]</f>
        <v>8.6732235000000024</v>
      </c>
      <c r="I27" s="18"/>
      <c r="J27" s="18"/>
    </row>
    <row r="28" spans="1:10" ht="14.5" x14ac:dyDescent="0.35">
      <c r="A28" s="511" t="s">
        <v>272</v>
      </c>
      <c r="B28" s="505">
        <v>7.2557254300000009</v>
      </c>
      <c r="C28" s="505">
        <v>0.11486779000000001</v>
      </c>
      <c r="D28" s="174">
        <f>Table1637[[#This Row],[Column2]]-Table1637[[#This Row],[Column3]]</f>
        <v>7.140857640000001</v>
      </c>
      <c r="I28" s="18"/>
      <c r="J28" s="18"/>
    </row>
    <row r="29" spans="1:10" ht="14.5" x14ac:dyDescent="0.35">
      <c r="A29" s="511" t="s">
        <v>315</v>
      </c>
      <c r="B29" s="505">
        <v>5.9956878900000001</v>
      </c>
      <c r="C29" s="505">
        <v>2.4851979999999996E-2</v>
      </c>
      <c r="D29" s="174">
        <f>Table1637[[#This Row],[Column2]]-Table1637[[#This Row],[Column3]]</f>
        <v>5.9708359099999999</v>
      </c>
      <c r="I29" s="18"/>
      <c r="J29" s="18"/>
    </row>
    <row r="30" spans="1:10" ht="14.5" x14ac:dyDescent="0.35">
      <c r="A30" s="511" t="s">
        <v>665</v>
      </c>
      <c r="B30" s="505">
        <v>5.668040539999998</v>
      </c>
      <c r="C30" s="505"/>
      <c r="D30" s="174">
        <f>Table1637[[#This Row],[Column2]]-Table1637[[#This Row],[Column3]]</f>
        <v>5.668040539999998</v>
      </c>
      <c r="I30" s="18"/>
      <c r="J30" s="18"/>
    </row>
    <row r="31" spans="1:10" ht="14.5" x14ac:dyDescent="0.35">
      <c r="A31" s="511" t="s">
        <v>534</v>
      </c>
      <c r="B31" s="505">
        <v>4.8544615100000001</v>
      </c>
      <c r="C31" s="505">
        <v>0.16513951999999998</v>
      </c>
      <c r="D31" s="174">
        <f>Table1637[[#This Row],[Column2]]-Table1637[[#This Row],[Column3]]</f>
        <v>4.6893219899999998</v>
      </c>
      <c r="I31" s="18"/>
      <c r="J31" s="18"/>
    </row>
    <row r="32" spans="1:10" ht="14.5" x14ac:dyDescent="0.35">
      <c r="A32" s="511" t="s">
        <v>553</v>
      </c>
      <c r="B32" s="505">
        <v>4.6172517500000003</v>
      </c>
      <c r="C32" s="505"/>
      <c r="D32" s="174">
        <f>Table1637[[#This Row],[Column2]]-Table1637[[#This Row],[Column3]]</f>
        <v>4.6172517500000003</v>
      </c>
      <c r="I32" s="18"/>
      <c r="J32" s="18"/>
    </row>
    <row r="33" spans="1:10" ht="14.5" x14ac:dyDescent="0.35">
      <c r="A33" s="511" t="s">
        <v>264</v>
      </c>
      <c r="B33" s="505">
        <v>16.140617480000003</v>
      </c>
      <c r="C33" s="505">
        <v>12.649277599999994</v>
      </c>
      <c r="D33" s="174">
        <f>Table1637[[#This Row],[Column2]]-Table1637[[#This Row],[Column3]]</f>
        <v>3.4913398800000088</v>
      </c>
      <c r="I33" s="18"/>
      <c r="J33" s="18"/>
    </row>
    <row r="34" spans="1:10" ht="14.5" x14ac:dyDescent="0.35">
      <c r="A34" s="511" t="s">
        <v>259</v>
      </c>
      <c r="B34" s="505">
        <v>31.61530372</v>
      </c>
      <c r="C34" s="505">
        <v>29.367916010000002</v>
      </c>
      <c r="D34" s="174">
        <f>Table1637[[#This Row],[Column2]]-Table1637[[#This Row],[Column3]]</f>
        <v>2.2473877099999982</v>
      </c>
      <c r="I34" s="18"/>
      <c r="J34" s="18"/>
    </row>
    <row r="35" spans="1:10" ht="14.5" x14ac:dyDescent="0.35">
      <c r="A35" s="511" t="s">
        <v>294</v>
      </c>
      <c r="B35" s="505">
        <v>1.9842486499999998</v>
      </c>
      <c r="C35" s="505">
        <v>8.0946000000000002E-4</v>
      </c>
      <c r="D35" s="174">
        <f>Table1637[[#This Row],[Column2]]-Table1637[[#This Row],[Column3]]</f>
        <v>1.9834391899999999</v>
      </c>
      <c r="I35" s="18"/>
      <c r="J35" s="18"/>
    </row>
    <row r="36" spans="1:10" ht="14.5" x14ac:dyDescent="0.35">
      <c r="A36" s="511" t="s">
        <v>607</v>
      </c>
      <c r="B36" s="505">
        <v>1.79150269</v>
      </c>
      <c r="C36" s="505"/>
      <c r="D36" s="174">
        <f>Table1637[[#This Row],[Column2]]-Table1637[[#This Row],[Column3]]</f>
        <v>1.79150269</v>
      </c>
      <c r="I36" s="18"/>
      <c r="J36" s="18"/>
    </row>
    <row r="37" spans="1:10" ht="14.5" x14ac:dyDescent="0.35">
      <c r="A37" s="511" t="s">
        <v>270</v>
      </c>
      <c r="B37" s="505">
        <v>1.8401056099999999</v>
      </c>
      <c r="C37" s="505">
        <v>6.9251240000000006E-2</v>
      </c>
      <c r="D37" s="174">
        <f>Table1637[[#This Row],[Column2]]-Table1637[[#This Row],[Column3]]</f>
        <v>1.7708543699999999</v>
      </c>
      <c r="I37" s="18"/>
      <c r="J37" s="18"/>
    </row>
    <row r="38" spans="1:10" ht="14.5" x14ac:dyDescent="0.35">
      <c r="A38" s="511" t="s">
        <v>311</v>
      </c>
      <c r="B38" s="505">
        <v>1.19815235</v>
      </c>
      <c r="C38" s="505"/>
      <c r="D38" s="174">
        <f>Table1637[[#This Row],[Column2]]-Table1637[[#This Row],[Column3]]</f>
        <v>1.19815235</v>
      </c>
      <c r="I38" s="18"/>
      <c r="J38" s="18"/>
    </row>
    <row r="39" spans="1:10" ht="14.5" x14ac:dyDescent="0.35">
      <c r="A39" s="511" t="s">
        <v>558</v>
      </c>
      <c r="B39" s="505">
        <v>1.0519872100000003</v>
      </c>
      <c r="C39" s="505">
        <v>7.8842860000000001E-2</v>
      </c>
      <c r="D39" s="174">
        <f>Table1637[[#This Row],[Column2]]-Table1637[[#This Row],[Column3]]</f>
        <v>0.97314435000000032</v>
      </c>
      <c r="I39" s="18"/>
      <c r="J39" s="18"/>
    </row>
    <row r="40" spans="1:10" ht="14.5" x14ac:dyDescent="0.35">
      <c r="A40" s="511" t="s">
        <v>673</v>
      </c>
      <c r="B40" s="505">
        <v>0.77546397999999994</v>
      </c>
      <c r="C40" s="505"/>
      <c r="D40" s="174">
        <f>Table1637[[#This Row],[Column2]]-Table1637[[#This Row],[Column3]]</f>
        <v>0.77546397999999994</v>
      </c>
      <c r="I40" s="18"/>
      <c r="J40" s="18"/>
    </row>
    <row r="41" spans="1:10" ht="14.5" x14ac:dyDescent="0.35">
      <c r="A41" s="511" t="s">
        <v>252</v>
      </c>
      <c r="B41" s="505">
        <v>8.4358219099999996</v>
      </c>
      <c r="C41" s="505">
        <v>7.6909884800000006</v>
      </c>
      <c r="D41" s="174">
        <f>Table1637[[#This Row],[Column2]]-Table1637[[#This Row],[Column3]]</f>
        <v>0.74483342999999902</v>
      </c>
      <c r="I41" s="18"/>
      <c r="J41" s="18"/>
    </row>
    <row r="42" spans="1:10" ht="14.5" x14ac:dyDescent="0.35">
      <c r="A42" s="511" t="s">
        <v>265</v>
      </c>
      <c r="B42" s="505">
        <v>1.5338420000000004</v>
      </c>
      <c r="C42" s="505">
        <v>0.83025406000000013</v>
      </c>
      <c r="D42" s="174">
        <f>Table1637[[#This Row],[Column2]]-Table1637[[#This Row],[Column3]]</f>
        <v>0.70358794000000024</v>
      </c>
      <c r="I42" s="18"/>
      <c r="J42" s="18"/>
    </row>
    <row r="43" spans="1:10" ht="14.5" x14ac:dyDescent="0.35">
      <c r="A43" s="511" t="s">
        <v>656</v>
      </c>
      <c r="B43" s="505">
        <v>0.65927448999999994</v>
      </c>
      <c r="C43" s="505"/>
      <c r="D43" s="174">
        <f>Table1637[[#This Row],[Column2]]-Table1637[[#This Row],[Column3]]</f>
        <v>0.65927448999999994</v>
      </c>
      <c r="I43" s="18"/>
      <c r="J43" s="18"/>
    </row>
    <row r="44" spans="1:10" ht="14.5" x14ac:dyDescent="0.35">
      <c r="A44" s="511" t="s">
        <v>284</v>
      </c>
      <c r="B44" s="505">
        <v>0.39430916999999999</v>
      </c>
      <c r="C44" s="505"/>
      <c r="D44" s="174">
        <f>Table1637[[#This Row],[Column2]]-Table1637[[#This Row],[Column3]]</f>
        <v>0.39430916999999999</v>
      </c>
      <c r="I44" s="18"/>
      <c r="J44" s="18"/>
    </row>
    <row r="45" spans="1:10" ht="14.5" x14ac:dyDescent="0.35">
      <c r="A45" s="511" t="s">
        <v>611</v>
      </c>
      <c r="B45" s="505">
        <v>1.6141542400000004</v>
      </c>
      <c r="C45" s="505">
        <v>1.2487292400000001</v>
      </c>
      <c r="D45" s="174">
        <f>Table1637[[#This Row],[Column2]]-Table1637[[#This Row],[Column3]]</f>
        <v>0.36542500000000033</v>
      </c>
      <c r="I45" s="18"/>
      <c r="J45" s="18"/>
    </row>
    <row r="46" spans="1:10" ht="14.5" x14ac:dyDescent="0.35">
      <c r="A46" s="511" t="s">
        <v>335</v>
      </c>
      <c r="B46" s="505">
        <v>0.29593816000000001</v>
      </c>
      <c r="C46" s="505"/>
      <c r="D46" s="174">
        <f>Table1637[[#This Row],[Column2]]-Table1637[[#This Row],[Column3]]</f>
        <v>0.29593816000000001</v>
      </c>
      <c r="I46" s="18"/>
      <c r="J46" s="18"/>
    </row>
    <row r="47" spans="1:10" ht="14.5" x14ac:dyDescent="0.35">
      <c r="A47" s="511" t="s">
        <v>622</v>
      </c>
      <c r="B47" s="505">
        <v>0.28317160000000002</v>
      </c>
      <c r="C47" s="505">
        <v>2.8371E-3</v>
      </c>
      <c r="D47" s="174">
        <f>Table1637[[#This Row],[Column2]]-Table1637[[#This Row],[Column3]]</f>
        <v>0.28033450000000004</v>
      </c>
      <c r="I47" s="18"/>
      <c r="J47" s="18"/>
    </row>
    <row r="48" spans="1:10" ht="14.5" x14ac:dyDescent="0.35">
      <c r="A48" s="511" t="s">
        <v>605</v>
      </c>
      <c r="B48" s="505">
        <v>0.27522655999999995</v>
      </c>
      <c r="C48" s="505"/>
      <c r="D48" s="174">
        <f>Table1637[[#This Row],[Column2]]-Table1637[[#This Row],[Column3]]</f>
        <v>0.27522655999999995</v>
      </c>
      <c r="I48" s="18"/>
      <c r="J48" s="18"/>
    </row>
    <row r="49" spans="1:10" ht="14.5" x14ac:dyDescent="0.35">
      <c r="A49" s="511" t="s">
        <v>602</v>
      </c>
      <c r="B49" s="505">
        <v>0.23644979999999999</v>
      </c>
      <c r="C49" s="505"/>
      <c r="D49" s="174">
        <f>Table1637[[#This Row],[Column2]]-Table1637[[#This Row],[Column3]]</f>
        <v>0.23644979999999999</v>
      </c>
      <c r="I49" s="18"/>
      <c r="J49" s="18"/>
    </row>
    <row r="50" spans="1:10" ht="14.5" x14ac:dyDescent="0.35">
      <c r="A50" s="511" t="s">
        <v>668</v>
      </c>
      <c r="B50" s="505">
        <v>0.2437339</v>
      </c>
      <c r="C50" s="505">
        <v>3.5540000000000002E-2</v>
      </c>
      <c r="D50" s="174">
        <f>Table1637[[#This Row],[Column2]]-Table1637[[#This Row],[Column3]]</f>
        <v>0.20819389999999999</v>
      </c>
      <c r="I50" s="18"/>
      <c r="J50" s="18"/>
    </row>
    <row r="51" spans="1:10" ht="14.5" x14ac:dyDescent="0.35">
      <c r="A51" s="511" t="s">
        <v>274</v>
      </c>
      <c r="B51" s="505">
        <v>0.1706</v>
      </c>
      <c r="C51" s="505"/>
      <c r="D51" s="174">
        <f>Table1637[[#This Row],[Column2]]-Table1637[[#This Row],[Column3]]</f>
        <v>0.1706</v>
      </c>
      <c r="I51" s="18"/>
      <c r="J51" s="18"/>
    </row>
    <row r="52" spans="1:10" ht="14.5" x14ac:dyDescent="0.35">
      <c r="A52" s="511" t="s">
        <v>525</v>
      </c>
      <c r="B52" s="505">
        <v>0.22202270999999998</v>
      </c>
      <c r="C52" s="505">
        <v>6.0341589999999994E-2</v>
      </c>
      <c r="D52" s="174">
        <f>Table1637[[#This Row],[Column2]]-Table1637[[#This Row],[Column3]]</f>
        <v>0.16168111999999998</v>
      </c>
      <c r="I52" s="18"/>
      <c r="J52" s="18"/>
    </row>
    <row r="53" spans="1:10" ht="14.5" x14ac:dyDescent="0.35">
      <c r="A53" s="511" t="s">
        <v>578</v>
      </c>
      <c r="B53" s="505">
        <v>0.18530658999999999</v>
      </c>
      <c r="C53" s="505">
        <v>3.6274460000000001E-2</v>
      </c>
      <c r="D53" s="174">
        <f>Table1637[[#This Row],[Column2]]-Table1637[[#This Row],[Column3]]</f>
        <v>0.14903212999999998</v>
      </c>
      <c r="I53" s="18"/>
      <c r="J53" s="18"/>
    </row>
    <row r="54" spans="1:10" ht="14.5" x14ac:dyDescent="0.35">
      <c r="A54" s="511" t="s">
        <v>657</v>
      </c>
      <c r="B54" s="505">
        <v>0.12459799000000001</v>
      </c>
      <c r="C54" s="505"/>
      <c r="D54" s="174">
        <f>Table1637[[#This Row],[Column2]]-Table1637[[#This Row],[Column3]]</f>
        <v>0.12459799000000001</v>
      </c>
      <c r="I54" s="18"/>
      <c r="J54" s="18"/>
    </row>
    <row r="55" spans="1:10" ht="14.5" x14ac:dyDescent="0.35">
      <c r="A55" s="511" t="s">
        <v>237</v>
      </c>
      <c r="B55" s="505">
        <v>0.12318852</v>
      </c>
      <c r="C55" s="505"/>
      <c r="D55" s="174">
        <f>Table1637[[#This Row],[Column2]]-Table1637[[#This Row],[Column3]]</f>
        <v>0.12318852</v>
      </c>
      <c r="I55" s="18"/>
      <c r="J55" s="18"/>
    </row>
    <row r="56" spans="1:10" ht="14.5" x14ac:dyDescent="0.35">
      <c r="A56" s="511" t="s">
        <v>606</v>
      </c>
      <c r="B56" s="505">
        <v>6.7546270000000005E-2</v>
      </c>
      <c r="C56" s="505"/>
      <c r="D56" s="174">
        <f>Table1637[[#This Row],[Column2]]-Table1637[[#This Row],[Column3]]</f>
        <v>6.7546270000000005E-2</v>
      </c>
      <c r="I56" s="18"/>
      <c r="J56" s="18"/>
    </row>
    <row r="57" spans="1:10" ht="14.5" x14ac:dyDescent="0.35">
      <c r="A57" s="511" t="s">
        <v>283</v>
      </c>
      <c r="B57" s="505">
        <v>5.2965910000000005E-2</v>
      </c>
      <c r="C57" s="505"/>
      <c r="D57" s="174">
        <f>Table1637[[#This Row],[Column2]]-Table1637[[#This Row],[Column3]]</f>
        <v>5.2965910000000005E-2</v>
      </c>
      <c r="I57" s="18"/>
      <c r="J57" s="18"/>
    </row>
    <row r="58" spans="1:10" ht="14.5" x14ac:dyDescent="0.35">
      <c r="A58" s="511" t="s">
        <v>619</v>
      </c>
      <c r="B58" s="505">
        <v>2.179327E-2</v>
      </c>
      <c r="C58" s="505"/>
      <c r="D58" s="174">
        <f>Table1637[[#This Row],[Column2]]-Table1637[[#This Row],[Column3]]</f>
        <v>2.179327E-2</v>
      </c>
      <c r="I58" s="18"/>
      <c r="J58" s="18"/>
    </row>
    <row r="59" spans="1:10" ht="14.5" x14ac:dyDescent="0.35">
      <c r="A59" s="511" t="s">
        <v>275</v>
      </c>
      <c r="B59" s="505">
        <v>4.6499999999999996E-3</v>
      </c>
      <c r="C59" s="505"/>
      <c r="D59" s="174">
        <f>Table1637[[#This Row],[Column2]]-Table1637[[#This Row],[Column3]]</f>
        <v>4.6499999999999996E-3</v>
      </c>
      <c r="I59" s="18"/>
      <c r="J59" s="18"/>
    </row>
    <row r="60" spans="1:10" ht="14.5" x14ac:dyDescent="0.35">
      <c r="A60" s="511" t="s">
        <v>268</v>
      </c>
      <c r="B60" s="505">
        <v>3.3395999999999995E-4</v>
      </c>
      <c r="C60" s="505"/>
      <c r="D60" s="174">
        <f>Table1637[[#This Row],[Column2]]-Table1637[[#This Row],[Column3]]</f>
        <v>3.3395999999999995E-4</v>
      </c>
      <c r="I60" s="18"/>
      <c r="J60" s="18"/>
    </row>
    <row r="61" spans="1:10" ht="14.5" x14ac:dyDescent="0.35">
      <c r="A61" s="511" t="s">
        <v>681</v>
      </c>
      <c r="B61" s="505"/>
      <c r="C61" s="505">
        <v>3.3104E-4</v>
      </c>
      <c r="D61" s="174">
        <f>Table1637[[#This Row],[Column2]]-Table1637[[#This Row],[Column3]]</f>
        <v>-3.3104E-4</v>
      </c>
      <c r="I61" s="18"/>
      <c r="J61" s="18"/>
    </row>
    <row r="62" spans="1:10" ht="14.5" x14ac:dyDescent="0.35">
      <c r="A62" s="511" t="s">
        <v>563</v>
      </c>
      <c r="B62" s="505"/>
      <c r="C62" s="505">
        <v>4.8788999999999999E-4</v>
      </c>
      <c r="D62" s="174">
        <f>Table1637[[#This Row],[Column2]]-Table1637[[#This Row],[Column3]]</f>
        <v>-4.8788999999999999E-4</v>
      </c>
      <c r="I62" s="18"/>
      <c r="J62" s="18"/>
    </row>
    <row r="63" spans="1:10" ht="14.5" x14ac:dyDescent="0.35">
      <c r="A63" s="511" t="s">
        <v>590</v>
      </c>
      <c r="B63" s="505"/>
      <c r="C63" s="505">
        <v>6.7876999999999998E-4</v>
      </c>
      <c r="D63" s="174">
        <f>Table1637[[#This Row],[Column2]]-Table1637[[#This Row],[Column3]]</f>
        <v>-6.7876999999999998E-4</v>
      </c>
      <c r="I63" s="18"/>
      <c r="J63" s="18"/>
    </row>
    <row r="64" spans="1:10" ht="14.5" x14ac:dyDescent="0.35">
      <c r="A64" s="511" t="s">
        <v>596</v>
      </c>
      <c r="B64" s="505"/>
      <c r="C64" s="505">
        <v>6.9151E-4</v>
      </c>
      <c r="D64" s="174">
        <f>Table1637[[#This Row],[Column2]]-Table1637[[#This Row],[Column3]]</f>
        <v>-6.9151E-4</v>
      </c>
      <c r="I64" s="18"/>
      <c r="J64" s="18"/>
    </row>
    <row r="65" spans="1:10" ht="14.5" x14ac:dyDescent="0.35">
      <c r="A65" s="511" t="s">
        <v>589</v>
      </c>
      <c r="B65" s="505"/>
      <c r="C65" s="505">
        <v>6.9621000000000006E-4</v>
      </c>
      <c r="D65" s="174">
        <f>Table1637[[#This Row],[Column2]]-Table1637[[#This Row],[Column3]]</f>
        <v>-6.9621000000000006E-4</v>
      </c>
      <c r="I65" s="18"/>
      <c r="J65" s="18"/>
    </row>
    <row r="66" spans="1:10" ht="14.5" x14ac:dyDescent="0.35">
      <c r="A66" s="511" t="s">
        <v>570</v>
      </c>
      <c r="B66" s="505"/>
      <c r="C66" s="505">
        <v>7.7407000000000007E-4</v>
      </c>
      <c r="D66" s="174">
        <f>Table1637[[#This Row],[Column2]]-Table1637[[#This Row],[Column3]]</f>
        <v>-7.7407000000000007E-4</v>
      </c>
      <c r="I66" s="18"/>
      <c r="J66" s="18"/>
    </row>
    <row r="67" spans="1:10" ht="14.5" x14ac:dyDescent="0.35">
      <c r="A67" s="511" t="s">
        <v>591</v>
      </c>
      <c r="B67" s="505"/>
      <c r="C67" s="505">
        <v>9.2590999999999995E-4</v>
      </c>
      <c r="D67" s="174">
        <f>Table1637[[#This Row],[Column2]]-Table1637[[#This Row],[Column3]]</f>
        <v>-9.2590999999999995E-4</v>
      </c>
      <c r="I67" s="18"/>
      <c r="J67" s="18"/>
    </row>
    <row r="68" spans="1:10" ht="14.5" x14ac:dyDescent="0.35">
      <c r="A68" s="511" t="s">
        <v>599</v>
      </c>
      <c r="B68" s="505"/>
      <c r="C68" s="505">
        <v>1.0228799999999999E-3</v>
      </c>
      <c r="D68" s="174">
        <f>Table1637[[#This Row],[Column2]]-Table1637[[#This Row],[Column3]]</f>
        <v>-1.0228799999999999E-3</v>
      </c>
      <c r="I68" s="18"/>
      <c r="J68" s="18"/>
    </row>
    <row r="69" spans="1:10" ht="14.5" x14ac:dyDescent="0.35">
      <c r="A69" s="511" t="s">
        <v>598</v>
      </c>
      <c r="B69" s="505"/>
      <c r="C69" s="505">
        <v>1.1739000000000001E-3</v>
      </c>
      <c r="D69" s="174">
        <f>Table1637[[#This Row],[Column2]]-Table1637[[#This Row],[Column3]]</f>
        <v>-1.1739000000000001E-3</v>
      </c>
      <c r="I69" s="18"/>
      <c r="J69" s="18"/>
    </row>
    <row r="70" spans="1:10" ht="14.5" x14ac:dyDescent="0.35">
      <c r="A70" s="511" t="s">
        <v>595</v>
      </c>
      <c r="B70" s="505"/>
      <c r="C70" s="505">
        <v>2.0856799999999999E-3</v>
      </c>
      <c r="D70" s="174">
        <f>Table1637[[#This Row],[Column2]]-Table1637[[#This Row],[Column3]]</f>
        <v>-2.0856799999999999E-3</v>
      </c>
      <c r="I70" s="18"/>
      <c r="J70" s="18"/>
    </row>
    <row r="71" spans="1:10" ht="14.5" x14ac:dyDescent="0.35">
      <c r="A71" s="511" t="s">
        <v>574</v>
      </c>
      <c r="B71" s="505"/>
      <c r="C71" s="505">
        <v>2.1205199999999999E-3</v>
      </c>
      <c r="D71" s="174">
        <f>Table1637[[#This Row],[Column2]]-Table1637[[#This Row],[Column3]]</f>
        <v>-2.1205199999999999E-3</v>
      </c>
      <c r="I71" s="18"/>
      <c r="J71" s="18"/>
    </row>
    <row r="72" spans="1:10" ht="14.5" x14ac:dyDescent="0.35">
      <c r="A72" s="511" t="s">
        <v>664</v>
      </c>
      <c r="B72" s="505"/>
      <c r="C72" s="505">
        <v>2.2207300000000002E-3</v>
      </c>
      <c r="D72" s="174">
        <f>Table1637[[#This Row],[Column2]]-Table1637[[#This Row],[Column3]]</f>
        <v>-2.2207300000000002E-3</v>
      </c>
      <c r="I72" s="18"/>
      <c r="J72" s="18"/>
    </row>
    <row r="73" spans="1:10" ht="14.5" x14ac:dyDescent="0.35">
      <c r="A73" s="511" t="s">
        <v>631</v>
      </c>
      <c r="B73" s="505"/>
      <c r="C73" s="505">
        <v>2.2511999999999996E-3</v>
      </c>
      <c r="D73" s="174">
        <f>Table1637[[#This Row],[Column2]]-Table1637[[#This Row],[Column3]]</f>
        <v>-2.2511999999999996E-3</v>
      </c>
      <c r="I73" s="18"/>
      <c r="J73" s="18"/>
    </row>
    <row r="74" spans="1:10" ht="14.5" x14ac:dyDescent="0.35">
      <c r="A74" s="511" t="s">
        <v>663</v>
      </c>
      <c r="B74" s="505"/>
      <c r="C74" s="505">
        <v>2.9310900000000003E-3</v>
      </c>
      <c r="D74" s="174">
        <f>Table1637[[#This Row],[Column2]]-Table1637[[#This Row],[Column3]]</f>
        <v>-2.9310900000000003E-3</v>
      </c>
      <c r="I74" s="18"/>
      <c r="J74" s="18"/>
    </row>
    <row r="75" spans="1:10" ht="14.5" x14ac:dyDescent="0.35">
      <c r="A75" s="511" t="s">
        <v>634</v>
      </c>
      <c r="B75" s="505"/>
      <c r="C75" s="505">
        <v>3.4559600000000001E-3</v>
      </c>
      <c r="D75" s="174">
        <f>Table1637[[#This Row],[Column2]]-Table1637[[#This Row],[Column3]]</f>
        <v>-3.4559600000000001E-3</v>
      </c>
      <c r="I75" s="18"/>
      <c r="J75" s="18"/>
    </row>
    <row r="76" spans="1:10" ht="14.5" x14ac:dyDescent="0.35">
      <c r="A76" s="511" t="s">
        <v>600</v>
      </c>
      <c r="B76" s="505"/>
      <c r="C76" s="505">
        <v>3.8857600000000003E-3</v>
      </c>
      <c r="D76" s="174">
        <f>Table1637[[#This Row],[Column2]]-Table1637[[#This Row],[Column3]]</f>
        <v>-3.8857600000000003E-3</v>
      </c>
      <c r="I76" s="18"/>
      <c r="J76" s="18"/>
    </row>
    <row r="77" spans="1:10" ht="14.5" x14ac:dyDescent="0.35">
      <c r="A77" s="511" t="s">
        <v>597</v>
      </c>
      <c r="B77" s="505"/>
      <c r="C77" s="505">
        <v>4.2757099999999994E-3</v>
      </c>
      <c r="D77" s="174">
        <f>Table1637[[#This Row],[Column2]]-Table1637[[#This Row],[Column3]]</f>
        <v>-4.2757099999999994E-3</v>
      </c>
      <c r="I77" s="18"/>
      <c r="J77" s="18"/>
    </row>
    <row r="78" spans="1:10" ht="14.5" x14ac:dyDescent="0.35">
      <c r="A78" s="511" t="s">
        <v>333</v>
      </c>
      <c r="B78" s="505"/>
      <c r="C78" s="505">
        <v>4.3635699999999998E-3</v>
      </c>
      <c r="D78" s="174">
        <f>Table1637[[#This Row],[Column2]]-Table1637[[#This Row],[Column3]]</f>
        <v>-4.3635699999999998E-3</v>
      </c>
      <c r="I78" s="18"/>
      <c r="J78" s="18"/>
    </row>
    <row r="79" spans="1:10" ht="14.5" x14ac:dyDescent="0.35">
      <c r="A79" s="511" t="s">
        <v>582</v>
      </c>
      <c r="B79" s="505"/>
      <c r="C79" s="505">
        <v>4.4429700000000001E-3</v>
      </c>
      <c r="D79" s="174">
        <f>Table1637[[#This Row],[Column2]]-Table1637[[#This Row],[Column3]]</f>
        <v>-4.4429700000000001E-3</v>
      </c>
      <c r="I79" s="18"/>
      <c r="J79" s="18"/>
    </row>
    <row r="80" spans="1:10" ht="14.5" x14ac:dyDescent="0.35">
      <c r="A80" s="511" t="s">
        <v>581</v>
      </c>
      <c r="B80" s="505"/>
      <c r="C80" s="505">
        <v>5.1163500000000004E-3</v>
      </c>
      <c r="D80" s="174">
        <f>Table1637[[#This Row],[Column2]]-Table1637[[#This Row],[Column3]]</f>
        <v>-5.1163500000000004E-3</v>
      </c>
      <c r="I80" s="18"/>
      <c r="J80" s="18"/>
    </row>
    <row r="81" spans="1:10" ht="14.5" x14ac:dyDescent="0.35">
      <c r="A81" s="511" t="s">
        <v>332</v>
      </c>
      <c r="B81" s="505"/>
      <c r="C81" s="505">
        <v>5.855E-3</v>
      </c>
      <c r="D81" s="174">
        <f>Table1637[[#This Row],[Column2]]-Table1637[[#This Row],[Column3]]</f>
        <v>-5.855E-3</v>
      </c>
      <c r="I81" s="18"/>
      <c r="J81" s="18"/>
    </row>
    <row r="82" spans="1:10" ht="14.5" x14ac:dyDescent="0.35">
      <c r="A82" s="511" t="s">
        <v>678</v>
      </c>
      <c r="B82" s="505"/>
      <c r="C82" s="505">
        <v>6.4091599999999997E-3</v>
      </c>
      <c r="D82" s="174">
        <f>Table1637[[#This Row],[Column2]]-Table1637[[#This Row],[Column3]]</f>
        <v>-6.4091599999999997E-3</v>
      </c>
      <c r="I82" s="18"/>
      <c r="J82" s="18"/>
    </row>
    <row r="83" spans="1:10" ht="14.5" x14ac:dyDescent="0.35">
      <c r="A83" s="511" t="s">
        <v>594</v>
      </c>
      <c r="B83" s="505"/>
      <c r="C83" s="505">
        <v>7.4411399999999997E-3</v>
      </c>
      <c r="D83" s="174">
        <f>Table1637[[#This Row],[Column2]]-Table1637[[#This Row],[Column3]]</f>
        <v>-7.4411399999999997E-3</v>
      </c>
      <c r="I83" s="18"/>
      <c r="J83" s="18"/>
    </row>
    <row r="84" spans="1:10" ht="14.5" x14ac:dyDescent="0.35">
      <c r="A84" s="511" t="s">
        <v>583</v>
      </c>
      <c r="B84" s="505"/>
      <c r="C84" s="505">
        <v>7.5266199999999995E-3</v>
      </c>
      <c r="D84" s="174">
        <f>Table1637[[#This Row],[Column2]]-Table1637[[#This Row],[Column3]]</f>
        <v>-7.5266199999999995E-3</v>
      </c>
      <c r="I84" s="18"/>
      <c r="J84" s="18"/>
    </row>
    <row r="85" spans="1:10" ht="14.5" x14ac:dyDescent="0.35">
      <c r="A85" s="511" t="s">
        <v>580</v>
      </c>
      <c r="B85" s="505"/>
      <c r="C85" s="505">
        <v>1.0719020000000001E-2</v>
      </c>
      <c r="D85" s="174">
        <f>Table1637[[#This Row],[Column2]]-Table1637[[#This Row],[Column3]]</f>
        <v>-1.0719020000000001E-2</v>
      </c>
      <c r="I85" s="18"/>
      <c r="J85" s="18"/>
    </row>
    <row r="86" spans="1:10" ht="14.5" x14ac:dyDescent="0.35">
      <c r="A86" s="511" t="s">
        <v>609</v>
      </c>
      <c r="B86" s="505"/>
      <c r="C86" s="505">
        <v>1.107619E-2</v>
      </c>
      <c r="D86" s="174">
        <f>Table1637[[#This Row],[Column2]]-Table1637[[#This Row],[Column3]]</f>
        <v>-1.107619E-2</v>
      </c>
      <c r="I86" s="18"/>
      <c r="J86" s="18"/>
    </row>
    <row r="87" spans="1:10" ht="14.5" x14ac:dyDescent="0.35">
      <c r="A87" s="511" t="s">
        <v>278</v>
      </c>
      <c r="B87" s="505"/>
      <c r="C87" s="505">
        <v>1.375147E-2</v>
      </c>
      <c r="D87" s="174">
        <f>Table1637[[#This Row],[Column2]]-Table1637[[#This Row],[Column3]]</f>
        <v>-1.375147E-2</v>
      </c>
      <c r="I87" s="18"/>
      <c r="J87" s="18"/>
    </row>
    <row r="88" spans="1:10" ht="14.5" x14ac:dyDescent="0.35">
      <c r="A88" s="511" t="s">
        <v>587</v>
      </c>
      <c r="B88" s="505"/>
      <c r="C88" s="505">
        <v>1.4110950000000001E-2</v>
      </c>
      <c r="D88" s="174">
        <f>Table1637[[#This Row],[Column2]]-Table1637[[#This Row],[Column3]]</f>
        <v>-1.4110950000000001E-2</v>
      </c>
      <c r="I88" s="18"/>
      <c r="J88" s="18"/>
    </row>
    <row r="89" spans="1:10" ht="14.5" x14ac:dyDescent="0.35">
      <c r="A89" s="511" t="s">
        <v>636</v>
      </c>
      <c r="B89" s="505"/>
      <c r="C89" s="505">
        <v>1.761213E-2</v>
      </c>
      <c r="D89" s="174">
        <f>Table1637[[#This Row],[Column2]]-Table1637[[#This Row],[Column3]]</f>
        <v>-1.761213E-2</v>
      </c>
      <c r="I89" s="18"/>
      <c r="J89" s="18"/>
    </row>
    <row r="90" spans="1:10" ht="14.5" x14ac:dyDescent="0.35">
      <c r="A90" s="511" t="s">
        <v>577</v>
      </c>
      <c r="B90" s="505">
        <v>1.7763599999999997E-2</v>
      </c>
      <c r="C90" s="505">
        <v>4.0409379999999995E-2</v>
      </c>
      <c r="D90" s="174">
        <f>Table1637[[#This Row],[Column2]]-Table1637[[#This Row],[Column3]]</f>
        <v>-2.2645779999999997E-2</v>
      </c>
      <c r="I90" s="18"/>
      <c r="J90" s="18"/>
    </row>
    <row r="91" spans="1:10" ht="14.5" x14ac:dyDescent="0.35">
      <c r="A91" s="511" t="s">
        <v>680</v>
      </c>
      <c r="B91" s="505"/>
      <c r="C91" s="505">
        <v>2.2783580000000001E-2</v>
      </c>
      <c r="D91" s="174">
        <f>Table1637[[#This Row],[Column2]]-Table1637[[#This Row],[Column3]]</f>
        <v>-2.2783580000000001E-2</v>
      </c>
      <c r="I91" s="18"/>
      <c r="J91" s="18"/>
    </row>
    <row r="92" spans="1:10" ht="14.5" x14ac:dyDescent="0.35">
      <c r="A92" s="511" t="s">
        <v>585</v>
      </c>
      <c r="B92" s="505"/>
      <c r="C92" s="505">
        <v>2.4329529999999999E-2</v>
      </c>
      <c r="D92" s="174">
        <f>Table1637[[#This Row],[Column2]]-Table1637[[#This Row],[Column3]]</f>
        <v>-2.4329529999999999E-2</v>
      </c>
      <c r="I92" s="18"/>
      <c r="J92" s="18"/>
    </row>
    <row r="93" spans="1:10" ht="14.5" x14ac:dyDescent="0.35">
      <c r="A93" s="511" t="s">
        <v>543</v>
      </c>
      <c r="B93" s="505">
        <v>6.2184980700000017</v>
      </c>
      <c r="C93" s="505">
        <v>6.2429155399999994</v>
      </c>
      <c r="D93" s="174">
        <f>Table1637[[#This Row],[Column2]]-Table1637[[#This Row],[Column3]]</f>
        <v>-2.4417469999997721E-2</v>
      </c>
      <c r="I93" s="18"/>
      <c r="J93" s="18"/>
    </row>
    <row r="94" spans="1:10" ht="14.5" x14ac:dyDescent="0.35">
      <c r="A94" s="511" t="s">
        <v>562</v>
      </c>
      <c r="B94" s="505"/>
      <c r="C94" s="505">
        <v>2.4907939999999996E-2</v>
      </c>
      <c r="D94" s="174">
        <f>Table1637[[#This Row],[Column2]]-Table1637[[#This Row],[Column3]]</f>
        <v>-2.4907939999999996E-2</v>
      </c>
      <c r="I94" s="18"/>
      <c r="J94" s="18"/>
    </row>
    <row r="95" spans="1:10" ht="14.5" x14ac:dyDescent="0.35">
      <c r="A95" s="511" t="s">
        <v>630</v>
      </c>
      <c r="B95" s="505"/>
      <c r="C95" s="505">
        <v>2.710595E-2</v>
      </c>
      <c r="D95" s="174">
        <f>Table1637[[#This Row],[Column2]]-Table1637[[#This Row],[Column3]]</f>
        <v>-2.710595E-2</v>
      </c>
      <c r="I95" s="18"/>
      <c r="J95" s="18"/>
    </row>
    <row r="96" spans="1:10" ht="14.5" x14ac:dyDescent="0.35">
      <c r="A96" s="511" t="s">
        <v>279</v>
      </c>
      <c r="B96" s="505"/>
      <c r="C96" s="505">
        <v>2.7873440000000003E-2</v>
      </c>
      <c r="D96" s="174">
        <f>Table1637[[#This Row],[Column2]]-Table1637[[#This Row],[Column3]]</f>
        <v>-2.7873440000000003E-2</v>
      </c>
      <c r="I96" s="18"/>
      <c r="J96" s="18"/>
    </row>
    <row r="97" spans="1:10" ht="14.5" x14ac:dyDescent="0.35">
      <c r="A97" s="511" t="s">
        <v>633</v>
      </c>
      <c r="B97" s="505"/>
      <c r="C97" s="505">
        <v>2.8051E-2</v>
      </c>
      <c r="D97" s="174">
        <f>Table1637[[#This Row],[Column2]]-Table1637[[#This Row],[Column3]]</f>
        <v>-2.8051E-2</v>
      </c>
      <c r="I97" s="18"/>
      <c r="J97" s="18"/>
    </row>
    <row r="98" spans="1:10" ht="14.5" x14ac:dyDescent="0.35">
      <c r="A98" s="511" t="s">
        <v>564</v>
      </c>
      <c r="B98" s="505"/>
      <c r="C98" s="505">
        <v>2.8530989999999999E-2</v>
      </c>
      <c r="D98" s="174">
        <f>Table1637[[#This Row],[Column2]]-Table1637[[#This Row],[Column3]]</f>
        <v>-2.8530989999999999E-2</v>
      </c>
      <c r="I98" s="18"/>
      <c r="J98" s="18"/>
    </row>
    <row r="99" spans="1:10" ht="14.5" x14ac:dyDescent="0.35">
      <c r="A99" s="511" t="s">
        <v>653</v>
      </c>
      <c r="B99" s="505"/>
      <c r="C99" s="505">
        <v>2.9834370000000002E-2</v>
      </c>
      <c r="D99" s="174">
        <f>Table1637[[#This Row],[Column2]]-Table1637[[#This Row],[Column3]]</f>
        <v>-2.9834370000000002E-2</v>
      </c>
      <c r="I99" s="18"/>
      <c r="J99" s="18"/>
    </row>
    <row r="100" spans="1:10" ht="14.5" x14ac:dyDescent="0.35">
      <c r="A100" s="511" t="s">
        <v>588</v>
      </c>
      <c r="B100" s="505"/>
      <c r="C100" s="505">
        <v>3.2795980000000002E-2</v>
      </c>
      <c r="D100" s="174">
        <f>Table1637[[#This Row],[Column2]]-Table1637[[#This Row],[Column3]]</f>
        <v>-3.2795980000000002E-2</v>
      </c>
      <c r="I100" s="18"/>
      <c r="J100" s="18"/>
    </row>
    <row r="101" spans="1:10" ht="14.5" x14ac:dyDescent="0.35">
      <c r="A101" s="511" t="s">
        <v>568</v>
      </c>
      <c r="B101" s="505"/>
      <c r="C101" s="505">
        <v>3.5859040000000002E-2</v>
      </c>
      <c r="D101" s="174">
        <f>Table1637[[#This Row],[Column2]]-Table1637[[#This Row],[Column3]]</f>
        <v>-3.5859040000000002E-2</v>
      </c>
      <c r="I101" s="18"/>
      <c r="J101" s="18"/>
    </row>
    <row r="102" spans="1:10" ht="14.5" x14ac:dyDescent="0.35">
      <c r="A102" s="511" t="s">
        <v>573</v>
      </c>
      <c r="B102" s="505"/>
      <c r="C102" s="505">
        <v>4.0014930000000004E-2</v>
      </c>
      <c r="D102" s="174">
        <f>Table1637[[#This Row],[Column2]]-Table1637[[#This Row],[Column3]]</f>
        <v>-4.0014930000000004E-2</v>
      </c>
      <c r="I102" s="18"/>
      <c r="J102" s="18"/>
    </row>
    <row r="103" spans="1:10" ht="14.5" x14ac:dyDescent="0.35">
      <c r="A103" s="511" t="s">
        <v>287</v>
      </c>
      <c r="B103" s="505"/>
      <c r="C103" s="505">
        <v>7.5458279999999989E-2</v>
      </c>
      <c r="D103" s="174">
        <f>Table1637[[#This Row],[Column2]]-Table1637[[#This Row],[Column3]]</f>
        <v>-7.5458279999999989E-2</v>
      </c>
      <c r="I103" s="18"/>
      <c r="J103" s="18"/>
    </row>
    <row r="104" spans="1:10" ht="14.5" x14ac:dyDescent="0.35">
      <c r="A104" s="511" t="s">
        <v>593</v>
      </c>
      <c r="B104" s="505"/>
      <c r="C104" s="505">
        <v>8.1223889999999993E-2</v>
      </c>
      <c r="D104" s="174">
        <f>Table1637[[#This Row],[Column2]]-Table1637[[#This Row],[Column3]]</f>
        <v>-8.1223889999999993E-2</v>
      </c>
      <c r="I104" s="18"/>
      <c r="J104" s="18"/>
    </row>
    <row r="105" spans="1:10" ht="14.5" x14ac:dyDescent="0.35">
      <c r="A105" s="511" t="s">
        <v>282</v>
      </c>
      <c r="B105" s="505">
        <v>1E-4</v>
      </c>
      <c r="C105" s="505">
        <v>8.1512330000000022E-2</v>
      </c>
      <c r="D105" s="174">
        <f>Table1637[[#This Row],[Column2]]-Table1637[[#This Row],[Column3]]</f>
        <v>-8.1412330000000019E-2</v>
      </c>
      <c r="I105" s="18"/>
      <c r="J105" s="18"/>
    </row>
    <row r="106" spans="1:10" ht="14.5" x14ac:dyDescent="0.35">
      <c r="A106" s="511" t="s">
        <v>566</v>
      </c>
      <c r="B106" s="505"/>
      <c r="C106" s="505">
        <v>8.1488210000000005E-2</v>
      </c>
      <c r="D106" s="174">
        <f>Table1637[[#This Row],[Column2]]-Table1637[[#This Row],[Column3]]</f>
        <v>-8.1488210000000005E-2</v>
      </c>
      <c r="I106" s="18"/>
      <c r="J106" s="18"/>
    </row>
    <row r="107" spans="1:10" ht="14.5" x14ac:dyDescent="0.35">
      <c r="A107" s="511" t="s">
        <v>628</v>
      </c>
      <c r="B107" s="505"/>
      <c r="C107" s="505">
        <v>8.5813520000000004E-2</v>
      </c>
      <c r="D107" s="174">
        <f>Table1637[[#This Row],[Column2]]-Table1637[[#This Row],[Column3]]</f>
        <v>-8.5813520000000004E-2</v>
      </c>
      <c r="I107" s="18"/>
      <c r="J107" s="18"/>
    </row>
    <row r="108" spans="1:10" ht="14.5" x14ac:dyDescent="0.35">
      <c r="A108" s="511" t="s">
        <v>621</v>
      </c>
      <c r="B108" s="505">
        <v>1.4691259999999999E-2</v>
      </c>
      <c r="C108" s="505">
        <v>0.11241627999999999</v>
      </c>
      <c r="D108" s="174">
        <f>Table1637[[#This Row],[Column2]]-Table1637[[#This Row],[Column3]]</f>
        <v>-9.7725019999999996E-2</v>
      </c>
      <c r="I108" s="18"/>
      <c r="J108" s="18"/>
    </row>
    <row r="109" spans="1:10" ht="14.5" x14ac:dyDescent="0.35">
      <c r="A109" s="511" t="s">
        <v>584</v>
      </c>
      <c r="B109" s="505"/>
      <c r="C109" s="505">
        <v>0.12376924</v>
      </c>
      <c r="D109" s="174">
        <f>Table1637[[#This Row],[Column2]]-Table1637[[#This Row],[Column3]]</f>
        <v>-0.12376924</v>
      </c>
      <c r="I109" s="18"/>
      <c r="J109" s="18"/>
    </row>
    <row r="110" spans="1:10" ht="14.5" x14ac:dyDescent="0.35">
      <c r="A110" s="511" t="s">
        <v>575</v>
      </c>
      <c r="B110" s="505"/>
      <c r="C110" s="505">
        <v>0.15874824999999998</v>
      </c>
      <c r="D110" s="174">
        <f>Table1637[[#This Row],[Column2]]-Table1637[[#This Row],[Column3]]</f>
        <v>-0.15874824999999998</v>
      </c>
      <c r="I110" s="18"/>
      <c r="J110" s="18"/>
    </row>
    <row r="111" spans="1:10" ht="14.5" x14ac:dyDescent="0.35">
      <c r="A111" s="511" t="s">
        <v>586</v>
      </c>
      <c r="B111" s="505"/>
      <c r="C111" s="505">
        <v>0.16488583000000001</v>
      </c>
      <c r="D111" s="174">
        <f>Table1637[[#This Row],[Column2]]-Table1637[[#This Row],[Column3]]</f>
        <v>-0.16488583000000001</v>
      </c>
      <c r="I111" s="18"/>
      <c r="J111" s="18"/>
    </row>
    <row r="112" spans="1:10" ht="14.5" x14ac:dyDescent="0.35">
      <c r="A112" s="511" t="s">
        <v>569</v>
      </c>
      <c r="B112" s="505"/>
      <c r="C112" s="505">
        <v>0.21014919999999998</v>
      </c>
      <c r="D112" s="174">
        <f>Table1637[[#This Row],[Column2]]-Table1637[[#This Row],[Column3]]</f>
        <v>-0.21014919999999998</v>
      </c>
      <c r="I112" s="18"/>
      <c r="J112" s="18"/>
    </row>
    <row r="113" spans="1:10" ht="14.5" x14ac:dyDescent="0.35">
      <c r="A113" s="511" t="s">
        <v>327</v>
      </c>
      <c r="B113" s="505">
        <v>2.5477899999999999E-3</v>
      </c>
      <c r="C113" s="505">
        <v>0.33352221999999992</v>
      </c>
      <c r="D113" s="174">
        <f>Table1637[[#This Row],[Column2]]-Table1637[[#This Row],[Column3]]</f>
        <v>-0.33097442999999993</v>
      </c>
      <c r="I113" s="18"/>
      <c r="J113" s="18"/>
    </row>
    <row r="114" spans="1:10" ht="14.5" x14ac:dyDescent="0.35">
      <c r="A114" s="511" t="s">
        <v>280</v>
      </c>
      <c r="B114" s="505">
        <v>2.6000000000000003E-4</v>
      </c>
      <c r="C114" s="505">
        <v>0.34487814999999999</v>
      </c>
      <c r="D114" s="174">
        <f>Table1637[[#This Row],[Column2]]-Table1637[[#This Row],[Column3]]</f>
        <v>-0.34461815000000001</v>
      </c>
      <c r="I114" s="18"/>
      <c r="J114" s="18"/>
    </row>
    <row r="115" spans="1:10" ht="14.5" x14ac:dyDescent="0.35">
      <c r="A115" s="511" t="s">
        <v>567</v>
      </c>
      <c r="B115" s="505">
        <v>8.8388970000000011E-2</v>
      </c>
      <c r="C115" s="505">
        <v>0.47650822000000004</v>
      </c>
      <c r="D115" s="174">
        <f>Table1637[[#This Row],[Column2]]-Table1637[[#This Row],[Column3]]</f>
        <v>-0.38811925000000003</v>
      </c>
      <c r="I115" s="18"/>
      <c r="J115" s="18"/>
    </row>
    <row r="116" spans="1:10" ht="14.5" x14ac:dyDescent="0.35">
      <c r="A116" s="511" t="s">
        <v>523</v>
      </c>
      <c r="B116" s="505">
        <v>9.5499999999999995E-3</v>
      </c>
      <c r="C116" s="505">
        <v>0.42154795000000006</v>
      </c>
      <c r="D116" s="174">
        <f>Table1637[[#This Row],[Column2]]-Table1637[[#This Row],[Column3]]</f>
        <v>-0.41199795000000006</v>
      </c>
      <c r="I116" s="18"/>
      <c r="J116" s="18"/>
    </row>
    <row r="117" spans="1:10" ht="14.5" x14ac:dyDescent="0.35">
      <c r="A117" s="511" t="s">
        <v>288</v>
      </c>
      <c r="B117" s="505"/>
      <c r="C117" s="505">
        <v>0.43088727000000004</v>
      </c>
      <c r="D117" s="174">
        <f>Table1637[[#This Row],[Column2]]-Table1637[[#This Row],[Column3]]</f>
        <v>-0.43088727000000004</v>
      </c>
      <c r="I117" s="18"/>
      <c r="J117" s="18"/>
    </row>
    <row r="118" spans="1:10" ht="14.5" x14ac:dyDescent="0.35">
      <c r="A118" s="511" t="s">
        <v>565</v>
      </c>
      <c r="B118" s="505"/>
      <c r="C118" s="505">
        <v>0.43621587999999994</v>
      </c>
      <c r="D118" s="174">
        <f>Table1637[[#This Row],[Column2]]-Table1637[[#This Row],[Column3]]</f>
        <v>-0.43621587999999994</v>
      </c>
      <c r="I118" s="18"/>
      <c r="J118" s="18"/>
    </row>
    <row r="119" spans="1:10" ht="14.5" x14ac:dyDescent="0.35">
      <c r="A119" s="511" t="s">
        <v>557</v>
      </c>
      <c r="B119" s="505"/>
      <c r="C119" s="505">
        <v>0.44734664000000002</v>
      </c>
      <c r="D119" s="174">
        <f>Table1637[[#This Row],[Column2]]-Table1637[[#This Row],[Column3]]</f>
        <v>-0.44734664000000002</v>
      </c>
      <c r="I119" s="18"/>
      <c r="J119" s="18"/>
    </row>
    <row r="120" spans="1:10" ht="14.5" x14ac:dyDescent="0.35">
      <c r="A120" s="511" t="s">
        <v>531</v>
      </c>
      <c r="B120" s="505"/>
      <c r="C120" s="505">
        <v>0.50990552</v>
      </c>
      <c r="D120" s="174">
        <f>Table1637[[#This Row],[Column2]]-Table1637[[#This Row],[Column3]]</f>
        <v>-0.50990552</v>
      </c>
      <c r="I120" s="18"/>
      <c r="J120" s="18"/>
    </row>
    <row r="121" spans="1:10" ht="14.5" x14ac:dyDescent="0.35">
      <c r="A121" s="511" t="s">
        <v>561</v>
      </c>
      <c r="B121" s="505">
        <v>8.5500000000000003E-3</v>
      </c>
      <c r="C121" s="505">
        <v>0.52156246999999989</v>
      </c>
      <c r="D121" s="174">
        <f>Table1637[[#This Row],[Column2]]-Table1637[[#This Row],[Column3]]</f>
        <v>-0.51301246999999994</v>
      </c>
      <c r="I121" s="18"/>
      <c r="J121" s="18"/>
    </row>
    <row r="122" spans="1:10" ht="14.5" x14ac:dyDescent="0.35">
      <c r="A122" s="511" t="s">
        <v>552</v>
      </c>
      <c r="B122" s="505">
        <v>2.9999999999999997E-4</v>
      </c>
      <c r="C122" s="505">
        <v>1.0964385799999998</v>
      </c>
      <c r="D122" s="174">
        <f>Table1637[[#This Row],[Column2]]-Table1637[[#This Row],[Column3]]</f>
        <v>-1.0961385799999999</v>
      </c>
      <c r="I122" s="18"/>
      <c r="J122" s="18"/>
    </row>
    <row r="123" spans="1:10" ht="14.5" x14ac:dyDescent="0.35">
      <c r="A123" s="511" t="s">
        <v>571</v>
      </c>
      <c r="B123" s="505">
        <v>1E-3</v>
      </c>
      <c r="C123" s="505">
        <v>1.2244703800000001</v>
      </c>
      <c r="D123" s="174">
        <f>Table1637[[#This Row],[Column2]]-Table1637[[#This Row],[Column3]]</f>
        <v>-1.2234703800000002</v>
      </c>
      <c r="I123" s="18"/>
      <c r="J123" s="18"/>
    </row>
    <row r="124" spans="1:10" ht="14.5" x14ac:dyDescent="0.35">
      <c r="A124" s="511" t="s">
        <v>271</v>
      </c>
      <c r="B124" s="505">
        <v>3.0000000000000001E-5</v>
      </c>
      <c r="C124" s="505">
        <v>1.3374847500000004</v>
      </c>
      <c r="D124" s="174">
        <f>Table1637[[#This Row],[Column2]]-Table1637[[#This Row],[Column3]]</f>
        <v>-1.3374547500000005</v>
      </c>
      <c r="I124" s="18"/>
      <c r="J124" s="18"/>
    </row>
    <row r="125" spans="1:10" ht="14.5" x14ac:dyDescent="0.35">
      <c r="A125" s="511" t="s">
        <v>554</v>
      </c>
      <c r="B125" s="505"/>
      <c r="C125" s="505">
        <v>1.3866159399999998</v>
      </c>
      <c r="D125" s="174">
        <f>Table1637[[#This Row],[Column2]]-Table1637[[#This Row],[Column3]]</f>
        <v>-1.3866159399999998</v>
      </c>
      <c r="I125" s="18"/>
      <c r="J125" s="18"/>
    </row>
    <row r="126" spans="1:10" ht="14.5" x14ac:dyDescent="0.35">
      <c r="A126" s="511" t="s">
        <v>608</v>
      </c>
      <c r="B126" s="505"/>
      <c r="C126" s="505">
        <v>1.61312802</v>
      </c>
      <c r="D126" s="174">
        <f>Table1637[[#This Row],[Column2]]-Table1637[[#This Row],[Column3]]</f>
        <v>-1.61312802</v>
      </c>
      <c r="I126" s="18"/>
      <c r="J126" s="18"/>
    </row>
    <row r="127" spans="1:10" ht="14.5" x14ac:dyDescent="0.35">
      <c r="A127" s="511" t="s">
        <v>530</v>
      </c>
      <c r="B127" s="505"/>
      <c r="C127" s="505">
        <v>1.67482237</v>
      </c>
      <c r="D127" s="174">
        <f>Table1637[[#This Row],[Column2]]-Table1637[[#This Row],[Column3]]</f>
        <v>-1.67482237</v>
      </c>
      <c r="I127" s="18"/>
      <c r="J127" s="18"/>
    </row>
    <row r="128" spans="1:10" ht="14.5" x14ac:dyDescent="0.35">
      <c r="A128" s="511" t="s">
        <v>556</v>
      </c>
      <c r="B128" s="505">
        <v>3.2750000000000001E-3</v>
      </c>
      <c r="C128" s="505">
        <v>1.9666650400000003</v>
      </c>
      <c r="D128" s="174">
        <f>Table1637[[#This Row],[Column2]]-Table1637[[#This Row],[Column3]]</f>
        <v>-1.9633900400000004</v>
      </c>
      <c r="I128" s="18"/>
      <c r="J128" s="18"/>
    </row>
    <row r="129" spans="1:10" ht="14.5" x14ac:dyDescent="0.35">
      <c r="A129" s="511" t="s">
        <v>273</v>
      </c>
      <c r="B129" s="505">
        <v>1.7763627300000002</v>
      </c>
      <c r="C129" s="505">
        <v>3.7447196700000007</v>
      </c>
      <c r="D129" s="174">
        <f>Table1637[[#This Row],[Column2]]-Table1637[[#This Row],[Column3]]</f>
        <v>-1.9683569400000005</v>
      </c>
      <c r="I129" s="18"/>
      <c r="J129" s="18"/>
    </row>
    <row r="130" spans="1:10" ht="14.5" x14ac:dyDescent="0.35">
      <c r="A130" s="511" t="s">
        <v>537</v>
      </c>
      <c r="B130" s="505"/>
      <c r="C130" s="505">
        <v>2.1353347899999999</v>
      </c>
      <c r="D130" s="174">
        <f>Table1637[[#This Row],[Column2]]-Table1637[[#This Row],[Column3]]</f>
        <v>-2.1353347899999999</v>
      </c>
      <c r="I130" s="18"/>
      <c r="J130" s="18"/>
    </row>
    <row r="131" spans="1:10" ht="14.5" x14ac:dyDescent="0.35">
      <c r="A131" s="511" t="s">
        <v>281</v>
      </c>
      <c r="B131" s="505"/>
      <c r="C131" s="505">
        <v>2.4204336799999999</v>
      </c>
      <c r="D131" s="174">
        <f>Table1637[[#This Row],[Column2]]-Table1637[[#This Row],[Column3]]</f>
        <v>-2.4204336799999999</v>
      </c>
      <c r="I131" s="18"/>
      <c r="J131" s="18"/>
    </row>
    <row r="132" spans="1:10" ht="14.5" x14ac:dyDescent="0.35">
      <c r="A132" s="511" t="s">
        <v>238</v>
      </c>
      <c r="B132" s="505"/>
      <c r="C132" s="505">
        <v>2.9172197399999993</v>
      </c>
      <c r="D132" s="174">
        <f>Table1637[[#This Row],[Column2]]-Table1637[[#This Row],[Column3]]</f>
        <v>-2.9172197399999993</v>
      </c>
      <c r="I132" s="18"/>
      <c r="J132" s="18"/>
    </row>
    <row r="133" spans="1:10" ht="14.5" x14ac:dyDescent="0.35">
      <c r="A133" s="511" t="s">
        <v>549</v>
      </c>
      <c r="B133" s="505"/>
      <c r="C133" s="505">
        <v>3.03718317</v>
      </c>
      <c r="D133" s="174">
        <f>Table1637[[#This Row],[Column2]]-Table1637[[#This Row],[Column3]]</f>
        <v>-3.03718317</v>
      </c>
      <c r="I133" s="18"/>
      <c r="J133" s="18"/>
    </row>
    <row r="134" spans="1:10" ht="14.5" x14ac:dyDescent="0.35">
      <c r="A134" s="511" t="s">
        <v>547</v>
      </c>
      <c r="B134" s="505">
        <v>0.11439292</v>
      </c>
      <c r="C134" s="505">
        <v>3.5698383900000006</v>
      </c>
      <c r="D134" s="174">
        <f>Table1637[[#This Row],[Column2]]-Table1637[[#This Row],[Column3]]</f>
        <v>-3.4554454700000008</v>
      </c>
      <c r="I134" s="18"/>
      <c r="J134" s="18"/>
    </row>
    <row r="135" spans="1:10" ht="14.5" x14ac:dyDescent="0.35">
      <c r="A135" s="511" t="s">
        <v>551</v>
      </c>
      <c r="B135" s="505">
        <v>1.6597000000000001E-4</v>
      </c>
      <c r="C135" s="505">
        <v>3.494866350000001</v>
      </c>
      <c r="D135" s="174">
        <f>Table1637[[#This Row],[Column2]]-Table1637[[#This Row],[Column3]]</f>
        <v>-3.4947003800000012</v>
      </c>
      <c r="I135" s="18"/>
      <c r="J135" s="18"/>
    </row>
    <row r="136" spans="1:10" ht="14.5" x14ac:dyDescent="0.35">
      <c r="A136" s="511" t="s">
        <v>519</v>
      </c>
      <c r="B136" s="505">
        <v>0.39725199999999999</v>
      </c>
      <c r="C136" s="505">
        <v>4.0552173299999996</v>
      </c>
      <c r="D136" s="174">
        <f>Table1637[[#This Row],[Column2]]-Table1637[[#This Row],[Column3]]</f>
        <v>-3.6579653299999997</v>
      </c>
      <c r="I136" s="18"/>
      <c r="J136" s="18"/>
    </row>
    <row r="137" spans="1:10" ht="14.5" x14ac:dyDescent="0.35">
      <c r="A137" s="511" t="s">
        <v>277</v>
      </c>
      <c r="B137" s="505"/>
      <c r="C137" s="505">
        <v>3.671250220000001</v>
      </c>
      <c r="D137" s="174">
        <f>Table1637[[#This Row],[Column2]]-Table1637[[#This Row],[Column3]]</f>
        <v>-3.671250220000001</v>
      </c>
      <c r="I137" s="18"/>
      <c r="J137" s="18"/>
    </row>
    <row r="138" spans="1:10" ht="14.5" x14ac:dyDescent="0.35">
      <c r="A138" s="511" t="s">
        <v>555</v>
      </c>
      <c r="B138" s="505"/>
      <c r="C138" s="505">
        <v>5.3367637799999992</v>
      </c>
      <c r="D138" s="174">
        <f>Table1637[[#This Row],[Column2]]-Table1637[[#This Row],[Column3]]</f>
        <v>-5.3367637799999992</v>
      </c>
      <c r="I138" s="18"/>
      <c r="J138" s="18"/>
    </row>
    <row r="139" spans="1:10" ht="14.5" x14ac:dyDescent="0.35">
      <c r="A139" s="511" t="s">
        <v>550</v>
      </c>
      <c r="B139" s="505">
        <v>5.6085739999999995E-2</v>
      </c>
      <c r="C139" s="505">
        <v>6.0707606599999995</v>
      </c>
      <c r="D139" s="174">
        <f>Table1637[[#This Row],[Column2]]-Table1637[[#This Row],[Column3]]</f>
        <v>-6.0146749199999991</v>
      </c>
      <c r="I139" s="18"/>
      <c r="J139" s="18"/>
    </row>
    <row r="140" spans="1:10" ht="14.5" x14ac:dyDescent="0.35">
      <c r="A140" s="511" t="s">
        <v>542</v>
      </c>
      <c r="B140" s="505"/>
      <c r="C140" s="505">
        <v>7.0981682400000006</v>
      </c>
      <c r="D140" s="174">
        <f>Table1637[[#This Row],[Column2]]-Table1637[[#This Row],[Column3]]</f>
        <v>-7.0981682400000006</v>
      </c>
      <c r="I140" s="18"/>
      <c r="J140" s="18"/>
    </row>
    <row r="141" spans="1:10" ht="14.5" x14ac:dyDescent="0.35">
      <c r="A141" s="511" t="s">
        <v>541</v>
      </c>
      <c r="B141" s="505"/>
      <c r="C141" s="505">
        <v>7.6433575699999992</v>
      </c>
      <c r="D141" s="174">
        <f>Table1637[[#This Row],[Column2]]-Table1637[[#This Row],[Column3]]</f>
        <v>-7.6433575699999992</v>
      </c>
      <c r="I141" s="18"/>
      <c r="J141" s="18"/>
    </row>
    <row r="142" spans="1:10" ht="14.5" x14ac:dyDescent="0.35">
      <c r="A142" s="511" t="s">
        <v>560</v>
      </c>
      <c r="B142" s="505">
        <v>4.9999999999999996E-5</v>
      </c>
      <c r="C142" s="505">
        <v>8.1754283400000016</v>
      </c>
      <c r="D142" s="174">
        <f>Table1637[[#This Row],[Column2]]-Table1637[[#This Row],[Column3]]</f>
        <v>-8.1753783400000017</v>
      </c>
      <c r="I142" s="18"/>
      <c r="J142" s="18"/>
    </row>
    <row r="143" spans="1:10" ht="14.5" x14ac:dyDescent="0.35">
      <c r="A143" s="511" t="s">
        <v>533</v>
      </c>
      <c r="B143" s="505">
        <v>1.5259809999999999E-2</v>
      </c>
      <c r="C143" s="505">
        <v>8.3358827699999942</v>
      </c>
      <c r="D143" s="174">
        <f>Table1637[[#This Row],[Column2]]-Table1637[[#This Row],[Column3]]</f>
        <v>-8.3206229599999944</v>
      </c>
      <c r="I143" s="18"/>
      <c r="J143" s="18"/>
    </row>
    <row r="144" spans="1:10" ht="14.5" x14ac:dyDescent="0.35">
      <c r="A144" s="511" t="s">
        <v>538</v>
      </c>
      <c r="B144" s="505">
        <v>0.13902199999999998</v>
      </c>
      <c r="C144" s="505">
        <v>8.9477243800000004</v>
      </c>
      <c r="D144" s="174">
        <f>Table1637[[#This Row],[Column2]]-Table1637[[#This Row],[Column3]]</f>
        <v>-8.8087023799999997</v>
      </c>
      <c r="I144" s="18"/>
      <c r="J144" s="18"/>
    </row>
    <row r="145" spans="1:10" ht="14.5" x14ac:dyDescent="0.35">
      <c r="A145" s="511" t="s">
        <v>535</v>
      </c>
      <c r="B145" s="505">
        <v>3.714609E-2</v>
      </c>
      <c r="C145" s="505">
        <v>10.350477179999993</v>
      </c>
      <c r="D145" s="174">
        <f>Table1637[[#This Row],[Column2]]-Table1637[[#This Row],[Column3]]</f>
        <v>-10.313331089999993</v>
      </c>
      <c r="I145" s="18"/>
      <c r="J145" s="18"/>
    </row>
    <row r="146" spans="1:10" ht="14.5" x14ac:dyDescent="0.35">
      <c r="A146" s="511" t="s">
        <v>529</v>
      </c>
      <c r="B146" s="505">
        <v>5.0335480000000006</v>
      </c>
      <c r="C146" s="505">
        <v>16.46938939</v>
      </c>
      <c r="D146" s="174">
        <f>Table1637[[#This Row],[Column2]]-Table1637[[#This Row],[Column3]]</f>
        <v>-11.43584139</v>
      </c>
      <c r="I146" s="18"/>
      <c r="J146" s="18"/>
    </row>
    <row r="147" spans="1:10" ht="14.5" x14ac:dyDescent="0.35">
      <c r="A147" s="511" t="s">
        <v>526</v>
      </c>
      <c r="B147" s="505">
        <v>0.50158733999999994</v>
      </c>
      <c r="C147" s="505">
        <v>14.159181380000001</v>
      </c>
      <c r="D147" s="174">
        <f>Table1637[[#This Row],[Column2]]-Table1637[[#This Row],[Column3]]</f>
        <v>-13.657594040000001</v>
      </c>
      <c r="I147" s="18"/>
      <c r="J147" s="18"/>
    </row>
    <row r="148" spans="1:10" ht="14.5" x14ac:dyDescent="0.35">
      <c r="A148" s="511" t="s">
        <v>546</v>
      </c>
      <c r="B148" s="505">
        <v>4.7430597499999996</v>
      </c>
      <c r="C148" s="505">
        <v>18.596154539999993</v>
      </c>
      <c r="D148" s="174">
        <f>Table1637[[#This Row],[Column2]]-Table1637[[#This Row],[Column3]]</f>
        <v>-13.853094789999993</v>
      </c>
      <c r="I148" s="18"/>
      <c r="J148" s="18"/>
    </row>
    <row r="149" spans="1:10" ht="14.5" x14ac:dyDescent="0.35">
      <c r="A149" s="511" t="s">
        <v>260</v>
      </c>
      <c r="B149" s="505">
        <v>17.835285050000003</v>
      </c>
      <c r="C149" s="505">
        <v>32.509010219999986</v>
      </c>
      <c r="D149" s="174">
        <f>Table1637[[#This Row],[Column2]]-Table1637[[#This Row],[Column3]]</f>
        <v>-14.673725169999983</v>
      </c>
      <c r="I149" s="18"/>
      <c r="J149" s="18"/>
    </row>
    <row r="150" spans="1:10" ht="14.5" x14ac:dyDescent="0.35">
      <c r="A150" s="511" t="s">
        <v>262</v>
      </c>
      <c r="B150" s="505">
        <v>25.330110649999998</v>
      </c>
      <c r="C150" s="505">
        <v>41.685084710000012</v>
      </c>
      <c r="D150" s="174">
        <f>Table1637[[#This Row],[Column2]]-Table1637[[#This Row],[Column3]]</f>
        <v>-16.354974060000014</v>
      </c>
      <c r="I150" s="18"/>
      <c r="J150" s="18"/>
    </row>
    <row r="151" spans="1:10" ht="14.5" x14ac:dyDescent="0.35">
      <c r="A151" s="511" t="s">
        <v>539</v>
      </c>
      <c r="B151" s="505"/>
      <c r="C151" s="505">
        <v>19.46504105</v>
      </c>
      <c r="D151" s="174">
        <f>Table1637[[#This Row],[Column2]]-Table1637[[#This Row],[Column3]]</f>
        <v>-19.46504105</v>
      </c>
      <c r="I151" s="18"/>
      <c r="J151" s="18"/>
    </row>
    <row r="152" spans="1:10" ht="14.5" x14ac:dyDescent="0.35">
      <c r="A152" s="511" t="s">
        <v>545</v>
      </c>
      <c r="B152" s="505">
        <v>0.12645326999999998</v>
      </c>
      <c r="C152" s="505">
        <v>20.241727560000012</v>
      </c>
      <c r="D152" s="174">
        <f>Table1637[[#This Row],[Column2]]-Table1637[[#This Row],[Column3]]</f>
        <v>-20.115274290000013</v>
      </c>
      <c r="I152" s="18"/>
      <c r="J152" s="18"/>
    </row>
    <row r="153" spans="1:10" ht="14.5" x14ac:dyDescent="0.35">
      <c r="A153" s="511" t="s">
        <v>528</v>
      </c>
      <c r="B153" s="505">
        <v>0.62265257000000007</v>
      </c>
      <c r="C153" s="505">
        <v>21.160625960000008</v>
      </c>
      <c r="D153" s="174">
        <f>Table1637[[#This Row],[Column2]]-Table1637[[#This Row],[Column3]]</f>
        <v>-20.537973390000008</v>
      </c>
      <c r="I153" s="18"/>
      <c r="J153" s="18"/>
    </row>
    <row r="154" spans="1:10" ht="14.5" x14ac:dyDescent="0.35">
      <c r="A154" s="511" t="s">
        <v>540</v>
      </c>
      <c r="B154" s="505">
        <v>0.48906462000000001</v>
      </c>
      <c r="C154" s="505">
        <v>22.795081869999994</v>
      </c>
      <c r="D154" s="174">
        <f>Table1637[[#This Row],[Column2]]-Table1637[[#This Row],[Column3]]</f>
        <v>-22.306017249999993</v>
      </c>
      <c r="I154" s="18"/>
      <c r="J154" s="18"/>
    </row>
    <row r="155" spans="1:10" ht="14.5" x14ac:dyDescent="0.35">
      <c r="A155" s="511" t="s">
        <v>532</v>
      </c>
      <c r="B155" s="505"/>
      <c r="C155" s="505">
        <v>25.287484239999998</v>
      </c>
      <c r="D155" s="174">
        <f>Table1637[[#This Row],[Column2]]-Table1637[[#This Row],[Column3]]</f>
        <v>-25.287484239999998</v>
      </c>
      <c r="I155" s="18"/>
      <c r="J155" s="18"/>
    </row>
    <row r="156" spans="1:10" ht="14.5" x14ac:dyDescent="0.35">
      <c r="A156" s="511" t="s">
        <v>612</v>
      </c>
      <c r="B156" s="505">
        <v>14.774829820000001</v>
      </c>
      <c r="C156" s="505">
        <v>44.77621821999994</v>
      </c>
      <c r="D156" s="174">
        <f>Table1637[[#This Row],[Column2]]-Table1637[[#This Row],[Column3]]</f>
        <v>-30.001388399999939</v>
      </c>
      <c r="I156" s="18"/>
      <c r="J156" s="18"/>
    </row>
    <row r="157" spans="1:10" ht="14.5" x14ac:dyDescent="0.35">
      <c r="A157" s="511" t="s">
        <v>548</v>
      </c>
      <c r="B157" s="505">
        <v>0.40353299999999998</v>
      </c>
      <c r="C157" s="505">
        <v>30.503734169999998</v>
      </c>
      <c r="D157" s="174">
        <f>Table1637[[#This Row],[Column2]]-Table1637[[#This Row],[Column3]]</f>
        <v>-30.100201169999998</v>
      </c>
      <c r="I157" s="18"/>
      <c r="J157" s="18"/>
    </row>
    <row r="158" spans="1:10" ht="14.5" x14ac:dyDescent="0.35">
      <c r="A158" s="511" t="s">
        <v>276</v>
      </c>
      <c r="B158" s="505">
        <v>0.87888893000000001</v>
      </c>
      <c r="C158" s="505">
        <v>36.253776639999991</v>
      </c>
      <c r="D158" s="174">
        <f>Table1637[[#This Row],[Column2]]-Table1637[[#This Row],[Column3]]</f>
        <v>-35.374887709999989</v>
      </c>
      <c r="I158" s="18"/>
      <c r="J158" s="18"/>
    </row>
    <row r="159" spans="1:10" ht="14.5" x14ac:dyDescent="0.35">
      <c r="A159" s="511" t="s">
        <v>536</v>
      </c>
      <c r="B159" s="505">
        <v>4.644123E-2</v>
      </c>
      <c r="C159" s="505">
        <v>36.969979320000022</v>
      </c>
      <c r="D159" s="174">
        <f>Table1637[[#This Row],[Column2]]-Table1637[[#This Row],[Column3]]</f>
        <v>-36.923538090000022</v>
      </c>
      <c r="I159" s="18"/>
      <c r="J159" s="18"/>
    </row>
    <row r="160" spans="1:10" ht="14.5" x14ac:dyDescent="0.35">
      <c r="A160" s="511" t="s">
        <v>286</v>
      </c>
      <c r="B160" s="505"/>
      <c r="C160" s="505">
        <v>41.779076020000005</v>
      </c>
      <c r="D160" s="174">
        <f>Table1637[[#This Row],[Column2]]-Table1637[[#This Row],[Column3]]</f>
        <v>-41.779076020000005</v>
      </c>
      <c r="I160" s="18"/>
      <c r="J160" s="18"/>
    </row>
    <row r="161" spans="1:10" ht="14.5" x14ac:dyDescent="0.35">
      <c r="A161" s="511" t="s">
        <v>267</v>
      </c>
      <c r="B161" s="505">
        <v>2.6400314300000001</v>
      </c>
      <c r="C161" s="505">
        <v>44.977376680000049</v>
      </c>
      <c r="D161" s="174">
        <f>Table1637[[#This Row],[Column2]]-Table1637[[#This Row],[Column3]]</f>
        <v>-42.337345250000048</v>
      </c>
      <c r="I161" s="18"/>
      <c r="J161" s="18"/>
    </row>
    <row r="162" spans="1:10" ht="14.5" x14ac:dyDescent="0.35">
      <c r="A162" s="511" t="s">
        <v>438</v>
      </c>
      <c r="B162" s="505">
        <v>1.5077424399999999</v>
      </c>
      <c r="C162" s="505">
        <v>50.341594700000009</v>
      </c>
      <c r="D162" s="174">
        <f>Table1637[[#This Row],[Column2]]-Table1637[[#This Row],[Column3]]</f>
        <v>-48.833852260000008</v>
      </c>
      <c r="I162" s="18"/>
      <c r="J162" s="18"/>
    </row>
    <row r="163" spans="1:10" ht="14.5" x14ac:dyDescent="0.35">
      <c r="A163" s="511" t="s">
        <v>576</v>
      </c>
      <c r="B163" s="505"/>
      <c r="C163" s="505">
        <v>74.021471509999998</v>
      </c>
      <c r="D163" s="174">
        <f>Table1637[[#This Row],[Column2]]-Table1637[[#This Row],[Column3]]</f>
        <v>-74.021471509999998</v>
      </c>
      <c r="I163" s="18"/>
      <c r="J163" s="18"/>
    </row>
    <row r="164" spans="1:10" ht="14.5" x14ac:dyDescent="0.35">
      <c r="A164" s="511" t="s">
        <v>257</v>
      </c>
      <c r="B164" s="505">
        <v>98.366707640000001</v>
      </c>
      <c r="C164" s="505">
        <v>206.48919004999996</v>
      </c>
      <c r="D164" s="174">
        <f>Table1637[[#This Row],[Column2]]-Table1637[[#This Row],[Column3]]</f>
        <v>-108.12248240999996</v>
      </c>
      <c r="I164" s="18"/>
      <c r="J164" s="18"/>
    </row>
    <row r="165" spans="1:10" ht="14.5" x14ac:dyDescent="0.35">
      <c r="A165" s="511" t="s">
        <v>544</v>
      </c>
      <c r="B165" s="505">
        <v>1.0597505</v>
      </c>
      <c r="C165" s="505">
        <v>128.42429280999997</v>
      </c>
      <c r="D165" s="174">
        <f>Table1637[[#This Row],[Column2]]-Table1637[[#This Row],[Column3]]</f>
        <v>-127.36454230999996</v>
      </c>
      <c r="I165" s="18"/>
      <c r="J165" s="18"/>
    </row>
    <row r="166" spans="1:10" s="11" customFormat="1" ht="14.5" x14ac:dyDescent="0.35">
      <c r="A166" s="511" t="s">
        <v>572</v>
      </c>
      <c r="B166" s="505">
        <v>1.0420899100000001</v>
      </c>
      <c r="C166" s="505">
        <v>147.81251180000001</v>
      </c>
      <c r="D166" s="174">
        <f>Table1637[[#This Row],[Column2]]-Table1637[[#This Row],[Column3]]</f>
        <v>-146.77042189000002</v>
      </c>
    </row>
    <row r="167" spans="1:10" ht="14.5" x14ac:dyDescent="0.35">
      <c r="A167" s="511" t="s">
        <v>524</v>
      </c>
      <c r="B167" s="505">
        <v>21.760923640000005</v>
      </c>
      <c r="C167" s="505">
        <v>233.28035018000011</v>
      </c>
      <c r="D167" s="174">
        <f>Table1637[[#This Row],[Column2]]-Table1637[[#This Row],[Column3]]</f>
        <v>-211.5194265400001</v>
      </c>
    </row>
    <row r="168" spans="1:10" ht="14.5" x14ac:dyDescent="0.35">
      <c r="A168" s="511" t="s">
        <v>255</v>
      </c>
      <c r="B168" s="505">
        <v>111.06889566999999</v>
      </c>
      <c r="C168" s="505">
        <v>365.29987285999965</v>
      </c>
      <c r="D168" s="174">
        <f>Table1637[[#This Row],[Column2]]-Table1637[[#This Row],[Column3]]</f>
        <v>-254.23097718999966</v>
      </c>
    </row>
    <row r="169" spans="1:10" ht="14.5" x14ac:dyDescent="0.35">
      <c r="A169" s="511" t="s">
        <v>250</v>
      </c>
      <c r="B169" s="505">
        <v>120.84328350000003</v>
      </c>
      <c r="C169" s="505">
        <v>437.42935386999977</v>
      </c>
      <c r="D169" s="174">
        <f>Table1637[[#This Row],[Column2]]-Table1637[[#This Row],[Column3]]</f>
        <v>-316.58607036999973</v>
      </c>
    </row>
    <row r="170" spans="1:10" ht="14.5" x14ac:dyDescent="0.35">
      <c r="A170" s="511" t="s">
        <v>616</v>
      </c>
      <c r="B170" s="505">
        <v>15.435508920000004</v>
      </c>
      <c r="C170" s="505">
        <v>371.88011168000014</v>
      </c>
      <c r="D170" s="174">
        <f>Table1637[[#This Row],[Column2]]-Table1637[[#This Row],[Column3]]</f>
        <v>-356.44460276000012</v>
      </c>
    </row>
    <row r="171" spans="1:10" ht="14.5" x14ac:dyDescent="0.35">
      <c r="A171" s="511" t="s">
        <v>520</v>
      </c>
      <c r="B171" s="505"/>
      <c r="C171" s="505">
        <v>450.91971742000015</v>
      </c>
      <c r="D171" s="174">
        <f>Table1637[[#This Row],[Column2]]-Table1637[[#This Row],[Column3]]</f>
        <v>-450.91971742000015</v>
      </c>
    </row>
    <row r="172" spans="1:10" ht="14.5" x14ac:dyDescent="0.35">
      <c r="A172" s="511" t="s">
        <v>522</v>
      </c>
      <c r="B172" s="505">
        <v>35.328110019999997</v>
      </c>
      <c r="C172" s="505">
        <v>503.04555713000087</v>
      </c>
      <c r="D172" s="174">
        <f>Table1637[[#This Row],[Column2]]-Table1637[[#This Row],[Column3]]</f>
        <v>-467.71744711000088</v>
      </c>
    </row>
    <row r="173" spans="1:10" ht="14.5" x14ac:dyDescent="0.35">
      <c r="A173" s="511" t="s">
        <v>521</v>
      </c>
      <c r="B173" s="505">
        <v>0.69109483999999988</v>
      </c>
      <c r="C173" s="505">
        <v>696.95077622999963</v>
      </c>
      <c r="D173" s="174">
        <f>Table1637[[#This Row],[Column2]]-Table1637[[#This Row],[Column3]]</f>
        <v>-696.25968138999963</v>
      </c>
    </row>
    <row r="174" spans="1:10" ht="14.5" x14ac:dyDescent="0.35">
      <c r="A174" s="512" t="s">
        <v>235</v>
      </c>
      <c r="B174" s="506">
        <v>2582.4099248700004</v>
      </c>
      <c r="C174" s="506">
        <v>3509.7632255799949</v>
      </c>
      <c r="D174" s="174">
        <f>Table1637[[#This Row],[Column2]]-Table1637[[#This Row],[Column3]]</f>
        <v>-927.35330070999453</v>
      </c>
    </row>
    <row r="175" spans="1:10" s="11" customFormat="1" ht="14.5" x14ac:dyDescent="0.35">
      <c r="A175" s="228" t="s">
        <v>217</v>
      </c>
      <c r="B175" s="571">
        <f>SUM(B3:B174)</f>
        <v>11437.551189809999</v>
      </c>
      <c r="C175" s="571">
        <f>SUM(C3:C174)</f>
        <v>11244.308151029989</v>
      </c>
      <c r="D175" s="571">
        <f>SUM(D3:D174)</f>
        <v>193.24303878000728</v>
      </c>
    </row>
  </sheetData>
  <hyperlinks>
    <hyperlink ref="F1" location="'Table of Content'!A1" display="Table of Content" xr:uid="{D03FB39E-250E-4D29-B762-795BA928C8C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M256"/>
  <sheetViews>
    <sheetView zoomScaleNormal="100" workbookViewId="0">
      <selection activeCell="F1" sqref="F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8" width="8.7265625" style="1"/>
    <col min="9" max="10" width="9.1796875" style="1" bestFit="1" customWidth="1"/>
    <col min="11" max="11" width="8.7265625" style="1"/>
    <col min="12" max="12" width="9.26953125" style="1" bestFit="1" customWidth="1"/>
    <col min="13" max="13" width="9.1796875" style="1" bestFit="1" customWidth="1"/>
    <col min="14" max="16384" width="8.7265625" style="1"/>
  </cols>
  <sheetData>
    <row r="1" spans="1:13" ht="13" x14ac:dyDescent="0.3">
      <c r="A1" s="11" t="s">
        <v>986</v>
      </c>
      <c r="F1" s="7" t="s">
        <v>239</v>
      </c>
    </row>
    <row r="2" spans="1:13" ht="13" x14ac:dyDescent="0.3">
      <c r="A2" s="26" t="s">
        <v>617</v>
      </c>
      <c r="B2" s="26" t="s">
        <v>243</v>
      </c>
      <c r="C2" s="26" t="s">
        <v>219</v>
      </c>
      <c r="D2" s="6" t="s">
        <v>459</v>
      </c>
      <c r="I2" s="4"/>
      <c r="J2" s="4"/>
    </row>
    <row r="3" spans="1:13" ht="14.5" x14ac:dyDescent="0.35">
      <c r="A3" s="510" t="s">
        <v>465</v>
      </c>
      <c r="B3" s="504">
        <v>3003.9171540799998</v>
      </c>
      <c r="C3" s="504">
        <v>2.1647500000000002</v>
      </c>
      <c r="D3" s="230">
        <f>Table4124[[#This Row],[Column2]]-Table4124[[#This Row],[Column3]]</f>
        <v>3001.7524040799999</v>
      </c>
      <c r="I3" s="4"/>
      <c r="J3" s="4"/>
      <c r="L3" s="4"/>
      <c r="M3" s="4"/>
    </row>
    <row r="4" spans="1:13" ht="14.5" x14ac:dyDescent="0.35">
      <c r="A4" s="511" t="s">
        <v>462</v>
      </c>
      <c r="B4" s="505">
        <v>1806.82536009</v>
      </c>
      <c r="C4" s="505">
        <v>1.7807169999999997E-2</v>
      </c>
      <c r="D4" s="230">
        <f>Table4124[[#This Row],[Column2]]-Table4124[[#This Row],[Column3]]</f>
        <v>1806.80755292</v>
      </c>
      <c r="I4" s="4"/>
      <c r="J4" s="4"/>
      <c r="L4" s="4"/>
      <c r="M4" s="4"/>
    </row>
    <row r="5" spans="1:13" ht="14.5" x14ac:dyDescent="0.35">
      <c r="A5" s="511" t="s">
        <v>466</v>
      </c>
      <c r="B5" s="505">
        <v>1383.8911980000003</v>
      </c>
      <c r="C5" s="505">
        <v>27.252013519999995</v>
      </c>
      <c r="D5" s="230">
        <f>Table4124[[#This Row],[Column2]]-Table4124[[#This Row],[Column3]]</f>
        <v>1356.6391844800003</v>
      </c>
      <c r="I5" s="4"/>
      <c r="J5" s="4"/>
      <c r="L5" s="4"/>
      <c r="M5" s="4"/>
    </row>
    <row r="6" spans="1:13" ht="14.5" x14ac:dyDescent="0.35">
      <c r="A6" s="511" t="s">
        <v>464</v>
      </c>
      <c r="B6" s="505">
        <v>786.25527914000008</v>
      </c>
      <c r="C6" s="505">
        <v>176.19180356000001</v>
      </c>
      <c r="D6" s="230">
        <f>Table4124[[#This Row],[Column2]]-Table4124[[#This Row],[Column3]]</f>
        <v>610.06347558000004</v>
      </c>
      <c r="I6" s="4"/>
      <c r="J6" s="4"/>
      <c r="L6" s="4"/>
      <c r="M6" s="4"/>
    </row>
    <row r="7" spans="1:13" ht="14.5" x14ac:dyDescent="0.35">
      <c r="A7" s="511" t="s">
        <v>732</v>
      </c>
      <c r="B7" s="505">
        <v>717.77525735999996</v>
      </c>
      <c r="C7" s="505">
        <v>217.07189998999979</v>
      </c>
      <c r="D7" s="230">
        <f>Table4124[[#This Row],[Column2]]-Table4124[[#This Row],[Column3]]</f>
        <v>500.70335737000016</v>
      </c>
      <c r="I7" s="4"/>
      <c r="J7" s="4"/>
      <c r="L7" s="4"/>
      <c r="M7" s="4"/>
    </row>
    <row r="8" spans="1:13" ht="14.5" x14ac:dyDescent="0.35">
      <c r="A8" s="511" t="s">
        <v>733</v>
      </c>
      <c r="B8" s="505">
        <v>534.37696572999982</v>
      </c>
      <c r="C8" s="505">
        <v>39.7398375</v>
      </c>
      <c r="D8" s="230">
        <f>Table4124[[#This Row],[Column2]]-Table4124[[#This Row],[Column3]]</f>
        <v>494.6371282299998</v>
      </c>
      <c r="I8" s="4"/>
      <c r="J8" s="4"/>
      <c r="L8" s="4"/>
      <c r="M8" s="4"/>
    </row>
    <row r="9" spans="1:13" ht="14.5" x14ac:dyDescent="0.35">
      <c r="A9" s="511" t="s">
        <v>734</v>
      </c>
      <c r="B9" s="505">
        <v>183.72409443999999</v>
      </c>
      <c r="C9" s="505">
        <v>5.0681999999999995E-4</v>
      </c>
      <c r="D9" s="230">
        <f>Table4124[[#This Row],[Column2]]-Table4124[[#This Row],[Column3]]</f>
        <v>183.72358761999999</v>
      </c>
      <c r="I9" s="4"/>
      <c r="J9" s="4"/>
      <c r="L9" s="4"/>
      <c r="M9" s="4"/>
    </row>
    <row r="10" spans="1:13" ht="14.5" x14ac:dyDescent="0.35">
      <c r="A10" s="511" t="s">
        <v>735</v>
      </c>
      <c r="B10" s="505">
        <v>109.90639966000001</v>
      </c>
      <c r="C10" s="505">
        <v>0.31996438000000005</v>
      </c>
      <c r="D10" s="230">
        <f>Table4124[[#This Row],[Column2]]-Table4124[[#This Row],[Column3]]</f>
        <v>109.58643528</v>
      </c>
      <c r="I10" s="4"/>
      <c r="J10" s="4"/>
      <c r="L10" s="4"/>
      <c r="M10" s="4"/>
    </row>
    <row r="11" spans="1:13" ht="14.5" x14ac:dyDescent="0.35">
      <c r="A11" s="511" t="s">
        <v>736</v>
      </c>
      <c r="B11" s="505">
        <v>109.98271382</v>
      </c>
      <c r="C11" s="505">
        <v>2.7530765300000004</v>
      </c>
      <c r="D11" s="230">
        <f>Table4124[[#This Row],[Column2]]-Table4124[[#This Row],[Column3]]</f>
        <v>107.22963729</v>
      </c>
      <c r="I11" s="4"/>
      <c r="J11" s="4"/>
      <c r="L11" s="4"/>
      <c r="M11" s="4"/>
    </row>
    <row r="12" spans="1:13" ht="14.5" x14ac:dyDescent="0.35">
      <c r="A12" s="511" t="s">
        <v>737</v>
      </c>
      <c r="B12" s="505">
        <v>96.037142999999986</v>
      </c>
      <c r="C12" s="505">
        <v>1.0673286100000001</v>
      </c>
      <c r="D12" s="230">
        <f>Table4124[[#This Row],[Column2]]-Table4124[[#This Row],[Column3]]</f>
        <v>94.969814389999982</v>
      </c>
      <c r="I12" s="4"/>
      <c r="J12" s="4"/>
      <c r="L12" s="4"/>
      <c r="M12" s="4"/>
    </row>
    <row r="13" spans="1:13" ht="14.5" x14ac:dyDescent="0.35">
      <c r="A13" s="511" t="s">
        <v>738</v>
      </c>
      <c r="B13" s="505">
        <v>64.930233580000007</v>
      </c>
      <c r="C13" s="505">
        <v>6.7090803299999999</v>
      </c>
      <c r="D13" s="230">
        <f>Table4124[[#This Row],[Column2]]-Table4124[[#This Row],[Column3]]</f>
        <v>58.221153250000008</v>
      </c>
      <c r="I13" s="4"/>
      <c r="J13" s="4"/>
      <c r="L13" s="4"/>
      <c r="M13" s="4"/>
    </row>
    <row r="14" spans="1:13" ht="14.5" x14ac:dyDescent="0.35">
      <c r="A14" s="511" t="s">
        <v>739</v>
      </c>
      <c r="B14" s="505">
        <v>45.230450049999995</v>
      </c>
      <c r="C14" s="505">
        <v>7.3871240000000005E-2</v>
      </c>
      <c r="D14" s="230">
        <f>Table4124[[#This Row],[Column2]]-Table4124[[#This Row],[Column3]]</f>
        <v>45.156578809999992</v>
      </c>
      <c r="I14" s="4"/>
      <c r="J14" s="4"/>
      <c r="L14" s="4"/>
      <c r="M14" s="4"/>
    </row>
    <row r="15" spans="1:13" ht="14.5" x14ac:dyDescent="0.35">
      <c r="A15" s="511" t="s">
        <v>740</v>
      </c>
      <c r="B15" s="505">
        <v>40.749742529999999</v>
      </c>
      <c r="C15" s="505">
        <v>0.19546848999999999</v>
      </c>
      <c r="D15" s="230">
        <f>Table4124[[#This Row],[Column2]]-Table4124[[#This Row],[Column3]]</f>
        <v>40.554274039999996</v>
      </c>
      <c r="I15" s="4"/>
      <c r="J15" s="4"/>
      <c r="L15" s="4"/>
      <c r="M15" s="4"/>
    </row>
    <row r="16" spans="1:13" ht="14.5" x14ac:dyDescent="0.35">
      <c r="A16" s="511" t="s">
        <v>741</v>
      </c>
      <c r="B16" s="505">
        <v>41.956691549999995</v>
      </c>
      <c r="C16" s="505">
        <v>1.4031720400000001</v>
      </c>
      <c r="D16" s="230">
        <f>Table4124[[#This Row],[Column2]]-Table4124[[#This Row],[Column3]]</f>
        <v>40.553519509999994</v>
      </c>
      <c r="I16" s="4"/>
      <c r="J16" s="4"/>
      <c r="L16" s="4"/>
      <c r="M16" s="4"/>
    </row>
    <row r="17" spans="1:13" ht="14.5" x14ac:dyDescent="0.35">
      <c r="A17" s="511" t="s">
        <v>742</v>
      </c>
      <c r="B17" s="505">
        <v>178.65173816000004</v>
      </c>
      <c r="C17" s="505">
        <v>147.86112354000002</v>
      </c>
      <c r="D17" s="230">
        <f>Table4124[[#This Row],[Column2]]-Table4124[[#This Row],[Column3]]</f>
        <v>30.790614620000014</v>
      </c>
      <c r="I17" s="4"/>
      <c r="J17" s="4"/>
      <c r="L17" s="4"/>
      <c r="M17" s="4"/>
    </row>
    <row r="18" spans="1:13" ht="14.5" x14ac:dyDescent="0.35">
      <c r="A18" s="511" t="s">
        <v>743</v>
      </c>
      <c r="B18" s="505">
        <v>35.628049139999995</v>
      </c>
      <c r="C18" s="505">
        <v>6.2643619300000006</v>
      </c>
      <c r="D18" s="230">
        <f>Table4124[[#This Row],[Column2]]-Table4124[[#This Row],[Column3]]</f>
        <v>29.363687209999995</v>
      </c>
      <c r="I18" s="4"/>
      <c r="J18" s="4"/>
      <c r="L18" s="4"/>
      <c r="M18" s="4"/>
    </row>
    <row r="19" spans="1:13" ht="14.5" x14ac:dyDescent="0.35">
      <c r="A19" s="511" t="s">
        <v>744</v>
      </c>
      <c r="B19" s="505">
        <v>27.680933969999998</v>
      </c>
      <c r="C19" s="505">
        <v>0.26465662000000001</v>
      </c>
      <c r="D19" s="230">
        <f>Table4124[[#This Row],[Column2]]-Table4124[[#This Row],[Column3]]</f>
        <v>27.416277349999998</v>
      </c>
      <c r="I19" s="4"/>
      <c r="J19" s="4"/>
      <c r="L19" s="4"/>
      <c r="M19" s="4"/>
    </row>
    <row r="20" spans="1:13" ht="14.5" x14ac:dyDescent="0.35">
      <c r="A20" s="511" t="s">
        <v>745</v>
      </c>
      <c r="B20" s="505">
        <v>152.80880826999996</v>
      </c>
      <c r="C20" s="505">
        <v>128.58067452</v>
      </c>
      <c r="D20" s="230">
        <f>Table4124[[#This Row],[Column2]]-Table4124[[#This Row],[Column3]]</f>
        <v>24.228133749999955</v>
      </c>
      <c r="I20" s="4"/>
      <c r="J20" s="4"/>
      <c r="L20" s="4"/>
      <c r="M20" s="4"/>
    </row>
    <row r="21" spans="1:13" ht="14.5" x14ac:dyDescent="0.35">
      <c r="A21" s="511" t="s">
        <v>746</v>
      </c>
      <c r="B21" s="505">
        <v>30.201393440000004</v>
      </c>
      <c r="C21" s="505">
        <v>7.4002456200000006</v>
      </c>
      <c r="D21" s="230">
        <f>Table4124[[#This Row],[Column2]]-Table4124[[#This Row],[Column3]]</f>
        <v>22.801147820000004</v>
      </c>
      <c r="I21" s="4"/>
      <c r="J21" s="4"/>
      <c r="L21" s="4"/>
      <c r="M21" s="4"/>
    </row>
    <row r="22" spans="1:13" ht="14.5" x14ac:dyDescent="0.35">
      <c r="A22" s="511" t="s">
        <v>747</v>
      </c>
      <c r="B22" s="505">
        <v>51.416023320000001</v>
      </c>
      <c r="C22" s="505">
        <v>31.36298541999998</v>
      </c>
      <c r="D22" s="230">
        <f>Table4124[[#This Row],[Column2]]-Table4124[[#This Row],[Column3]]</f>
        <v>20.053037900000021</v>
      </c>
      <c r="I22" s="4"/>
      <c r="J22" s="4"/>
      <c r="L22" s="4"/>
      <c r="M22" s="4"/>
    </row>
    <row r="23" spans="1:13" ht="14.5" x14ac:dyDescent="0.35">
      <c r="A23" s="511" t="s">
        <v>748</v>
      </c>
      <c r="B23" s="505">
        <v>36.808459720000002</v>
      </c>
      <c r="C23" s="505">
        <v>26.068383340000008</v>
      </c>
      <c r="D23" s="230">
        <f>Table4124[[#This Row],[Column2]]-Table4124[[#This Row],[Column3]]</f>
        <v>10.740076379999994</v>
      </c>
      <c r="I23" s="4"/>
      <c r="J23" s="4"/>
      <c r="L23" s="4"/>
      <c r="M23" s="4"/>
    </row>
    <row r="24" spans="1:13" ht="14.5" x14ac:dyDescent="0.35">
      <c r="A24" s="511" t="s">
        <v>749</v>
      </c>
      <c r="B24" s="505">
        <v>53.924758630000007</v>
      </c>
      <c r="C24" s="505">
        <v>43.338776399999993</v>
      </c>
      <c r="D24" s="230">
        <f>Table4124[[#This Row],[Column2]]-Table4124[[#This Row],[Column3]]</f>
        <v>10.585982230000013</v>
      </c>
      <c r="I24" s="4"/>
      <c r="J24" s="4"/>
      <c r="L24" s="4"/>
      <c r="M24" s="4"/>
    </row>
    <row r="25" spans="1:13" ht="14.5" x14ac:dyDescent="0.35">
      <c r="A25" s="511" t="s">
        <v>750</v>
      </c>
      <c r="B25" s="505">
        <v>9.774450139999999</v>
      </c>
      <c r="C25" s="505">
        <v>0.20618926999999998</v>
      </c>
      <c r="D25" s="230">
        <f>Table4124[[#This Row],[Column2]]-Table4124[[#This Row],[Column3]]</f>
        <v>9.5682608699999996</v>
      </c>
      <c r="I25" s="4"/>
      <c r="J25" s="4"/>
      <c r="L25" s="4"/>
      <c r="M25" s="4"/>
    </row>
    <row r="26" spans="1:13" ht="14.5" x14ac:dyDescent="0.35">
      <c r="A26" s="511" t="s">
        <v>751</v>
      </c>
      <c r="B26" s="505">
        <v>10.011635389999999</v>
      </c>
      <c r="C26" s="505">
        <v>0.60959560999999995</v>
      </c>
      <c r="D26" s="230">
        <f>Table4124[[#This Row],[Column2]]-Table4124[[#This Row],[Column3]]</f>
        <v>9.4020397799999991</v>
      </c>
      <c r="I26" s="4"/>
      <c r="J26" s="4"/>
      <c r="L26" s="4"/>
      <c r="M26" s="4"/>
    </row>
    <row r="27" spans="1:13" ht="14.5" x14ac:dyDescent="0.35">
      <c r="A27" s="511" t="s">
        <v>752</v>
      </c>
      <c r="B27" s="505">
        <v>9.1933562899999988</v>
      </c>
      <c r="C27" s="505">
        <v>1.4610913600000002</v>
      </c>
      <c r="D27" s="230">
        <f>Table4124[[#This Row],[Column2]]-Table4124[[#This Row],[Column3]]</f>
        <v>7.7322649299999986</v>
      </c>
      <c r="I27" s="4"/>
      <c r="J27" s="4"/>
      <c r="L27" s="4"/>
      <c r="M27" s="4"/>
    </row>
    <row r="28" spans="1:13" ht="14.5" x14ac:dyDescent="0.35">
      <c r="A28" s="511" t="s">
        <v>753</v>
      </c>
      <c r="B28" s="505">
        <v>5.1650481700000013</v>
      </c>
      <c r="C28" s="505">
        <v>0.34485167</v>
      </c>
      <c r="D28" s="230">
        <f>Table4124[[#This Row],[Column2]]-Table4124[[#This Row],[Column3]]</f>
        <v>4.8201965000000015</v>
      </c>
      <c r="I28" s="4"/>
      <c r="J28" s="4"/>
      <c r="L28" s="4"/>
      <c r="M28" s="4"/>
    </row>
    <row r="29" spans="1:13" ht="14.5" x14ac:dyDescent="0.35">
      <c r="A29" s="511" t="s">
        <v>754</v>
      </c>
      <c r="B29" s="505">
        <v>41.758873859999973</v>
      </c>
      <c r="C29" s="505">
        <v>38.199221959999996</v>
      </c>
      <c r="D29" s="230">
        <f>Table4124[[#This Row],[Column2]]-Table4124[[#This Row],[Column3]]</f>
        <v>3.5596518999999773</v>
      </c>
      <c r="I29" s="4"/>
      <c r="J29" s="4"/>
      <c r="L29" s="4"/>
      <c r="M29" s="4"/>
    </row>
    <row r="30" spans="1:13" ht="14.5" x14ac:dyDescent="0.35">
      <c r="A30" s="511" t="s">
        <v>755</v>
      </c>
      <c r="B30" s="505">
        <v>14.643370010000003</v>
      </c>
      <c r="C30" s="505">
        <v>12.2531245</v>
      </c>
      <c r="D30" s="230">
        <f>Table4124[[#This Row],[Column2]]-Table4124[[#This Row],[Column3]]</f>
        <v>2.3902455100000033</v>
      </c>
      <c r="I30" s="4"/>
      <c r="J30" s="4"/>
      <c r="L30" s="4"/>
      <c r="M30" s="4"/>
    </row>
    <row r="31" spans="1:13" ht="14.5" x14ac:dyDescent="0.35">
      <c r="A31" s="511" t="s">
        <v>756</v>
      </c>
      <c r="B31" s="505">
        <v>7.5817383000000005</v>
      </c>
      <c r="C31" s="505">
        <v>5.2281240200000001</v>
      </c>
      <c r="D31" s="230">
        <f>Table4124[[#This Row],[Column2]]-Table4124[[#This Row],[Column3]]</f>
        <v>2.3536142800000004</v>
      </c>
      <c r="I31" s="4"/>
      <c r="J31" s="4"/>
      <c r="L31" s="4"/>
      <c r="M31" s="4"/>
    </row>
    <row r="32" spans="1:13" ht="14.5" x14ac:dyDescent="0.35">
      <c r="A32" s="511" t="s">
        <v>757</v>
      </c>
      <c r="B32" s="505">
        <v>2.1214780000000002</v>
      </c>
      <c r="C32" s="505"/>
      <c r="D32" s="230">
        <f>Table4124[[#This Row],[Column2]]-Table4124[[#This Row],[Column3]]</f>
        <v>2.1214780000000002</v>
      </c>
      <c r="I32" s="4"/>
      <c r="J32" s="4"/>
      <c r="L32" s="4"/>
      <c r="M32" s="4"/>
    </row>
    <row r="33" spans="1:13" ht="14.5" x14ac:dyDescent="0.35">
      <c r="A33" s="511" t="s">
        <v>758</v>
      </c>
      <c r="B33" s="505">
        <v>2.9036227800000001</v>
      </c>
      <c r="C33" s="505">
        <v>0.83317215999999983</v>
      </c>
      <c r="D33" s="230">
        <f>Table4124[[#This Row],[Column2]]-Table4124[[#This Row],[Column3]]</f>
        <v>2.0704506200000004</v>
      </c>
      <c r="I33" s="4"/>
      <c r="J33" s="4"/>
      <c r="L33" s="4"/>
      <c r="M33" s="4"/>
    </row>
    <row r="34" spans="1:13" ht="14.5" x14ac:dyDescent="0.35">
      <c r="A34" s="511" t="s">
        <v>759</v>
      </c>
      <c r="B34" s="505">
        <v>1.13852</v>
      </c>
      <c r="C34" s="505">
        <v>0.14054447</v>
      </c>
      <c r="D34" s="230">
        <f>Table4124[[#This Row],[Column2]]-Table4124[[#This Row],[Column3]]</f>
        <v>0.99797552999999994</v>
      </c>
      <c r="I34" s="4"/>
      <c r="J34" s="4"/>
      <c r="L34" s="4"/>
      <c r="M34" s="4"/>
    </row>
    <row r="35" spans="1:13" ht="14.5" x14ac:dyDescent="0.35">
      <c r="A35" s="511" t="s">
        <v>760</v>
      </c>
      <c r="B35" s="505">
        <v>0.51525865999999998</v>
      </c>
      <c r="C35" s="505"/>
      <c r="D35" s="230">
        <f>Table4124[[#This Row],[Column2]]-Table4124[[#This Row],[Column3]]</f>
        <v>0.51525865999999998</v>
      </c>
      <c r="I35" s="4"/>
      <c r="J35" s="4"/>
      <c r="L35" s="4"/>
      <c r="M35" s="4"/>
    </row>
    <row r="36" spans="1:13" ht="14.5" x14ac:dyDescent="0.35">
      <c r="A36" s="511" t="s">
        <v>761</v>
      </c>
      <c r="B36" s="505">
        <v>1.39684338</v>
      </c>
      <c r="C36" s="505">
        <v>0.91351096000000009</v>
      </c>
      <c r="D36" s="230">
        <f>Table4124[[#This Row],[Column2]]-Table4124[[#This Row],[Column3]]</f>
        <v>0.48333241999999987</v>
      </c>
      <c r="I36" s="4"/>
      <c r="J36" s="4"/>
      <c r="L36" s="4"/>
      <c r="M36" s="4"/>
    </row>
    <row r="37" spans="1:13" ht="14.5" x14ac:dyDescent="0.35">
      <c r="A37" s="511" t="s">
        <v>762</v>
      </c>
      <c r="B37" s="505">
        <v>0.35100053000000009</v>
      </c>
      <c r="C37" s="505"/>
      <c r="D37" s="230">
        <f>Table4124[[#This Row],[Column2]]-Table4124[[#This Row],[Column3]]</f>
        <v>0.35100053000000009</v>
      </c>
      <c r="I37" s="4"/>
      <c r="J37" s="4"/>
      <c r="L37" s="4"/>
      <c r="M37" s="4"/>
    </row>
    <row r="38" spans="1:13" ht="14.5" x14ac:dyDescent="0.35">
      <c r="A38" s="511" t="s">
        <v>763</v>
      </c>
      <c r="B38" s="505">
        <v>0.46563796999999996</v>
      </c>
      <c r="C38" s="505">
        <v>0.15077815</v>
      </c>
      <c r="D38" s="230">
        <f>Table4124[[#This Row],[Column2]]-Table4124[[#This Row],[Column3]]</f>
        <v>0.31485981999999996</v>
      </c>
      <c r="I38" s="4"/>
      <c r="J38" s="4"/>
      <c r="L38" s="4"/>
      <c r="M38" s="4"/>
    </row>
    <row r="39" spans="1:13" ht="14.5" x14ac:dyDescent="0.35">
      <c r="A39" s="511" t="s">
        <v>764</v>
      </c>
      <c r="B39" s="505">
        <v>0.43572290000000002</v>
      </c>
      <c r="C39" s="505">
        <v>0.19182330999999997</v>
      </c>
      <c r="D39" s="230">
        <f>Table4124[[#This Row],[Column2]]-Table4124[[#This Row],[Column3]]</f>
        <v>0.24389959000000005</v>
      </c>
      <c r="I39" s="4"/>
      <c r="J39" s="4"/>
      <c r="L39" s="4"/>
      <c r="M39" s="4"/>
    </row>
    <row r="40" spans="1:13" ht="14.5" x14ac:dyDescent="0.35">
      <c r="A40" s="511" t="s">
        <v>765</v>
      </c>
      <c r="B40" s="505">
        <v>0.56582913000000001</v>
      </c>
      <c r="C40" s="505">
        <v>0.41818922000000003</v>
      </c>
      <c r="D40" s="230">
        <f>Table4124[[#This Row],[Column2]]-Table4124[[#This Row],[Column3]]</f>
        <v>0.14763990999999999</v>
      </c>
      <c r="I40" s="4"/>
      <c r="J40" s="4"/>
      <c r="L40" s="4"/>
      <c r="M40" s="4"/>
    </row>
    <row r="41" spans="1:13" ht="14.5" x14ac:dyDescent="0.35">
      <c r="A41" s="511" t="s">
        <v>766</v>
      </c>
      <c r="B41" s="505">
        <v>0.66923178999999999</v>
      </c>
      <c r="C41" s="505">
        <v>0.55923712000000003</v>
      </c>
      <c r="D41" s="230">
        <f>Table4124[[#This Row],[Column2]]-Table4124[[#This Row],[Column3]]</f>
        <v>0.10999466999999996</v>
      </c>
      <c r="I41" s="4"/>
      <c r="J41" s="4"/>
      <c r="L41" s="4"/>
      <c r="M41" s="4"/>
    </row>
    <row r="42" spans="1:13" ht="14.5" x14ac:dyDescent="0.35">
      <c r="A42" s="511" t="s">
        <v>767</v>
      </c>
      <c r="B42" s="505"/>
      <c r="C42" s="505">
        <v>1.749E-4</v>
      </c>
      <c r="D42" s="230">
        <f>Table4124[[#This Row],[Column2]]-Table4124[[#This Row],[Column3]]</f>
        <v>-1.749E-4</v>
      </c>
      <c r="I42" s="4"/>
      <c r="J42" s="4"/>
      <c r="L42" s="4"/>
      <c r="M42" s="4"/>
    </row>
    <row r="43" spans="1:13" ht="14.5" x14ac:dyDescent="0.35">
      <c r="A43" s="511" t="s">
        <v>768</v>
      </c>
      <c r="B43" s="505"/>
      <c r="C43" s="505">
        <v>3.6539999999999999E-4</v>
      </c>
      <c r="D43" s="230">
        <f>Table4124[[#This Row],[Column2]]-Table4124[[#This Row],[Column3]]</f>
        <v>-3.6539999999999999E-4</v>
      </c>
      <c r="I43" s="4"/>
      <c r="J43" s="4"/>
      <c r="L43" s="4"/>
      <c r="M43" s="4"/>
    </row>
    <row r="44" spans="1:13" ht="14.5" x14ac:dyDescent="0.35">
      <c r="A44" s="511" t="s">
        <v>769</v>
      </c>
      <c r="B44" s="505"/>
      <c r="C44" s="505">
        <v>3.7550000000000002E-4</v>
      </c>
      <c r="D44" s="230">
        <f>Table4124[[#This Row],[Column2]]-Table4124[[#This Row],[Column3]]</f>
        <v>-3.7550000000000002E-4</v>
      </c>
      <c r="I44" s="4"/>
      <c r="J44" s="4"/>
      <c r="L44" s="4"/>
      <c r="M44" s="4"/>
    </row>
    <row r="45" spans="1:13" ht="14.5" x14ac:dyDescent="0.35">
      <c r="A45" s="511" t="s">
        <v>770</v>
      </c>
      <c r="B45" s="505"/>
      <c r="C45" s="505">
        <v>3.8745000000000001E-4</v>
      </c>
      <c r="D45" s="230">
        <f>Table4124[[#This Row],[Column2]]-Table4124[[#This Row],[Column3]]</f>
        <v>-3.8745000000000001E-4</v>
      </c>
      <c r="I45" s="4"/>
      <c r="J45" s="4"/>
      <c r="L45" s="4"/>
      <c r="M45" s="4"/>
    </row>
    <row r="46" spans="1:13" ht="14.5" x14ac:dyDescent="0.35">
      <c r="A46" s="511" t="s">
        <v>771</v>
      </c>
      <c r="B46" s="505"/>
      <c r="C46" s="505">
        <v>7.4508000000000007E-4</v>
      </c>
      <c r="D46" s="230">
        <f>Table4124[[#This Row],[Column2]]-Table4124[[#This Row],[Column3]]</f>
        <v>-7.4508000000000007E-4</v>
      </c>
      <c r="I46" s="4"/>
      <c r="J46" s="4"/>
      <c r="L46" s="4"/>
      <c r="M46" s="4"/>
    </row>
    <row r="47" spans="1:13" ht="14.5" x14ac:dyDescent="0.35">
      <c r="A47" s="511" t="s">
        <v>772</v>
      </c>
      <c r="B47" s="505"/>
      <c r="C47" s="505">
        <v>1.4263800000000001E-3</v>
      </c>
      <c r="D47" s="230">
        <f>Table4124[[#This Row],[Column2]]-Table4124[[#This Row],[Column3]]</f>
        <v>-1.4263800000000001E-3</v>
      </c>
      <c r="I47" s="4"/>
      <c r="J47" s="4"/>
      <c r="L47" s="4"/>
      <c r="M47" s="4"/>
    </row>
    <row r="48" spans="1:13" ht="14.5" x14ac:dyDescent="0.35">
      <c r="A48" s="511" t="s">
        <v>773</v>
      </c>
      <c r="B48" s="505"/>
      <c r="C48" s="505">
        <v>1.6801199999999998E-3</v>
      </c>
      <c r="D48" s="230">
        <f>Table4124[[#This Row],[Column2]]-Table4124[[#This Row],[Column3]]</f>
        <v>-1.6801199999999998E-3</v>
      </c>
      <c r="I48" s="4"/>
      <c r="J48" s="4"/>
      <c r="L48" s="4"/>
      <c r="M48" s="4"/>
    </row>
    <row r="49" spans="1:13" ht="14.5" x14ac:dyDescent="0.35">
      <c r="A49" s="511" t="s">
        <v>774</v>
      </c>
      <c r="B49" s="505"/>
      <c r="C49" s="505">
        <v>3.6739300000000002E-3</v>
      </c>
      <c r="D49" s="230">
        <f>Table4124[[#This Row],[Column2]]-Table4124[[#This Row],[Column3]]</f>
        <v>-3.6739300000000002E-3</v>
      </c>
      <c r="I49" s="4"/>
      <c r="J49" s="4"/>
      <c r="L49" s="4"/>
      <c r="M49" s="4"/>
    </row>
    <row r="50" spans="1:13" ht="14.5" x14ac:dyDescent="0.35">
      <c r="A50" s="511" t="s">
        <v>775</v>
      </c>
      <c r="B50" s="505"/>
      <c r="C50" s="505">
        <v>4.1999999999999997E-3</v>
      </c>
      <c r="D50" s="230">
        <f>Table4124[[#This Row],[Column2]]-Table4124[[#This Row],[Column3]]</f>
        <v>-4.1999999999999997E-3</v>
      </c>
      <c r="I50" s="4"/>
      <c r="J50" s="4"/>
      <c r="L50" s="4"/>
      <c r="M50" s="4"/>
    </row>
    <row r="51" spans="1:13" ht="14.5" x14ac:dyDescent="0.35">
      <c r="A51" s="511" t="s">
        <v>776</v>
      </c>
      <c r="B51" s="505"/>
      <c r="C51" s="505">
        <v>8.28746E-3</v>
      </c>
      <c r="D51" s="230">
        <f>Table4124[[#This Row],[Column2]]-Table4124[[#This Row],[Column3]]</f>
        <v>-8.28746E-3</v>
      </c>
      <c r="I51" s="4"/>
      <c r="J51" s="4"/>
      <c r="L51" s="4"/>
      <c r="M51" s="4"/>
    </row>
    <row r="52" spans="1:13" ht="14.5" x14ac:dyDescent="0.35">
      <c r="A52" s="511" t="s">
        <v>777</v>
      </c>
      <c r="B52" s="505"/>
      <c r="C52" s="505">
        <v>9.4182399999999996E-3</v>
      </c>
      <c r="D52" s="230">
        <f>Table4124[[#This Row],[Column2]]-Table4124[[#This Row],[Column3]]</f>
        <v>-9.4182399999999996E-3</v>
      </c>
      <c r="I52" s="4"/>
      <c r="J52" s="4"/>
      <c r="L52" s="4"/>
      <c r="M52" s="4"/>
    </row>
    <row r="53" spans="1:13" ht="14.5" x14ac:dyDescent="0.35">
      <c r="A53" s="511" t="s">
        <v>778</v>
      </c>
      <c r="B53" s="505">
        <v>2.9495999999999997E-3</v>
      </c>
      <c r="C53" s="505">
        <v>1.5201020000000001E-2</v>
      </c>
      <c r="D53" s="230">
        <f>Table4124[[#This Row],[Column2]]-Table4124[[#This Row],[Column3]]</f>
        <v>-1.2251420000000001E-2</v>
      </c>
      <c r="I53" s="4"/>
      <c r="J53" s="4"/>
      <c r="L53" s="4"/>
      <c r="M53" s="4"/>
    </row>
    <row r="54" spans="1:13" ht="14.5" x14ac:dyDescent="0.35">
      <c r="A54" s="511" t="s">
        <v>779</v>
      </c>
      <c r="B54" s="505"/>
      <c r="C54" s="505">
        <v>1.99848E-2</v>
      </c>
      <c r="D54" s="230">
        <f>Table4124[[#This Row],[Column2]]-Table4124[[#This Row],[Column3]]</f>
        <v>-1.99848E-2</v>
      </c>
      <c r="I54" s="4"/>
      <c r="J54" s="4"/>
      <c r="L54" s="4"/>
      <c r="M54" s="4"/>
    </row>
    <row r="55" spans="1:13" ht="14.5" x14ac:dyDescent="0.35">
      <c r="A55" s="511" t="s">
        <v>780</v>
      </c>
      <c r="B55" s="505">
        <v>3.8913000000000003E-3</v>
      </c>
      <c r="C55" s="505">
        <v>5.0175070000000002E-2</v>
      </c>
      <c r="D55" s="230">
        <f>Table4124[[#This Row],[Column2]]-Table4124[[#This Row],[Column3]]</f>
        <v>-4.6283770000000002E-2</v>
      </c>
      <c r="I55" s="4"/>
      <c r="J55" s="4"/>
      <c r="L55" s="4"/>
      <c r="M55" s="4"/>
    </row>
    <row r="56" spans="1:13" ht="14.5" x14ac:dyDescent="0.35">
      <c r="A56" s="511" t="s">
        <v>781</v>
      </c>
      <c r="B56" s="505"/>
      <c r="C56" s="505">
        <v>6.1950039999999998E-2</v>
      </c>
      <c r="D56" s="230">
        <f>Table4124[[#This Row],[Column2]]-Table4124[[#This Row],[Column3]]</f>
        <v>-6.1950039999999998E-2</v>
      </c>
      <c r="I56" s="4"/>
      <c r="J56" s="4"/>
      <c r="L56" s="4"/>
      <c r="M56" s="4"/>
    </row>
    <row r="57" spans="1:13" ht="14.5" x14ac:dyDescent="0.35">
      <c r="A57" s="511" t="s">
        <v>782</v>
      </c>
      <c r="B57" s="505"/>
      <c r="C57" s="505">
        <v>7.2802790000000006E-2</v>
      </c>
      <c r="D57" s="230">
        <f>Table4124[[#This Row],[Column2]]-Table4124[[#This Row],[Column3]]</f>
        <v>-7.2802790000000006E-2</v>
      </c>
      <c r="I57" s="4"/>
      <c r="J57" s="4"/>
      <c r="L57" s="4"/>
      <c r="M57" s="4"/>
    </row>
    <row r="58" spans="1:13" ht="14.5" x14ac:dyDescent="0.35">
      <c r="A58" s="511" t="s">
        <v>783</v>
      </c>
      <c r="B58" s="505"/>
      <c r="C58" s="505">
        <v>9.3268670000000012E-2</v>
      </c>
      <c r="D58" s="230">
        <f>Table4124[[#This Row],[Column2]]-Table4124[[#This Row],[Column3]]</f>
        <v>-9.3268670000000012E-2</v>
      </c>
      <c r="I58" s="4"/>
      <c r="J58" s="4"/>
      <c r="L58" s="4"/>
      <c r="M58" s="4"/>
    </row>
    <row r="59" spans="1:13" ht="14.5" x14ac:dyDescent="0.35">
      <c r="A59" s="511" t="s">
        <v>784</v>
      </c>
      <c r="B59" s="505">
        <v>4.9316900000000007E-3</v>
      </c>
      <c r="C59" s="505">
        <v>0.11426394000000001</v>
      </c>
      <c r="D59" s="230">
        <f>Table4124[[#This Row],[Column2]]-Table4124[[#This Row],[Column3]]</f>
        <v>-0.10933225000000001</v>
      </c>
      <c r="I59" s="4"/>
      <c r="J59" s="4"/>
      <c r="L59" s="4"/>
      <c r="M59" s="4"/>
    </row>
    <row r="60" spans="1:13" ht="14.5" x14ac:dyDescent="0.35">
      <c r="A60" s="511" t="s">
        <v>785</v>
      </c>
      <c r="B60" s="505">
        <v>4.5710000000000001E-2</v>
      </c>
      <c r="C60" s="505">
        <v>0.18598000000000001</v>
      </c>
      <c r="D60" s="230">
        <f>Table4124[[#This Row],[Column2]]-Table4124[[#This Row],[Column3]]</f>
        <v>-0.14027000000000001</v>
      </c>
      <c r="I60" s="4"/>
      <c r="J60" s="4"/>
      <c r="L60" s="4"/>
      <c r="M60" s="4"/>
    </row>
    <row r="61" spans="1:13" ht="14.5" x14ac:dyDescent="0.35">
      <c r="A61" s="511" t="s">
        <v>786</v>
      </c>
      <c r="B61" s="505">
        <v>0.60807557000000001</v>
      </c>
      <c r="C61" s="505">
        <v>0.77286355000000007</v>
      </c>
      <c r="D61" s="230">
        <f>Table4124[[#This Row],[Column2]]-Table4124[[#This Row],[Column3]]</f>
        <v>-0.16478798000000006</v>
      </c>
      <c r="I61" s="4"/>
      <c r="J61" s="4"/>
      <c r="L61" s="4"/>
      <c r="M61" s="4"/>
    </row>
    <row r="62" spans="1:13" ht="14.5" x14ac:dyDescent="0.35">
      <c r="A62" s="511" t="s">
        <v>787</v>
      </c>
      <c r="B62" s="505"/>
      <c r="C62" s="505">
        <v>0.16882254999999999</v>
      </c>
      <c r="D62" s="230">
        <f>Table4124[[#This Row],[Column2]]-Table4124[[#This Row],[Column3]]</f>
        <v>-0.16882254999999999</v>
      </c>
      <c r="I62" s="4"/>
      <c r="J62" s="4"/>
      <c r="L62" s="4"/>
      <c r="M62" s="4"/>
    </row>
    <row r="63" spans="1:13" ht="14.5" x14ac:dyDescent="0.35">
      <c r="A63" s="511" t="s">
        <v>788</v>
      </c>
      <c r="B63" s="505"/>
      <c r="C63" s="505">
        <v>0.17530888</v>
      </c>
      <c r="D63" s="230">
        <f>Table4124[[#This Row],[Column2]]-Table4124[[#This Row],[Column3]]</f>
        <v>-0.17530888</v>
      </c>
      <c r="I63" s="4"/>
      <c r="J63" s="4"/>
      <c r="L63" s="4"/>
      <c r="M63" s="4"/>
    </row>
    <row r="64" spans="1:13" ht="14.5" x14ac:dyDescent="0.35">
      <c r="A64" s="511" t="s">
        <v>789</v>
      </c>
      <c r="B64" s="505">
        <v>2.006428E-2</v>
      </c>
      <c r="C64" s="505">
        <v>0.22497943999999997</v>
      </c>
      <c r="D64" s="230">
        <f>Table4124[[#This Row],[Column2]]-Table4124[[#This Row],[Column3]]</f>
        <v>-0.20491515999999999</v>
      </c>
      <c r="I64" s="4"/>
      <c r="J64" s="4"/>
      <c r="L64" s="4"/>
      <c r="M64" s="4"/>
    </row>
    <row r="65" spans="1:13" ht="14.5" x14ac:dyDescent="0.35">
      <c r="A65" s="511" t="s">
        <v>790</v>
      </c>
      <c r="B65" s="505">
        <v>1.7644799999999999E-2</v>
      </c>
      <c r="C65" s="505">
        <v>0.23165151</v>
      </c>
      <c r="D65" s="230">
        <f>Table4124[[#This Row],[Column2]]-Table4124[[#This Row],[Column3]]</f>
        <v>-0.21400671000000002</v>
      </c>
      <c r="I65" s="4"/>
      <c r="J65" s="4"/>
      <c r="L65" s="4"/>
      <c r="M65" s="4"/>
    </row>
    <row r="66" spans="1:13" ht="14.5" x14ac:dyDescent="0.35">
      <c r="A66" s="511" t="s">
        <v>791</v>
      </c>
      <c r="B66" s="505">
        <v>0.52760000000000007</v>
      </c>
      <c r="C66" s="505">
        <v>0.77373914999999993</v>
      </c>
      <c r="D66" s="230">
        <f>Table4124[[#This Row],[Column2]]-Table4124[[#This Row],[Column3]]</f>
        <v>-0.24613914999999986</v>
      </c>
      <c r="I66" s="4"/>
      <c r="J66" s="4"/>
      <c r="L66" s="4"/>
      <c r="M66" s="4"/>
    </row>
    <row r="67" spans="1:13" ht="14.5" x14ac:dyDescent="0.35">
      <c r="A67" s="511" t="s">
        <v>792</v>
      </c>
      <c r="B67" s="505"/>
      <c r="C67" s="505">
        <v>0.30913739000000001</v>
      </c>
      <c r="D67" s="230">
        <f>Table4124[[#This Row],[Column2]]-Table4124[[#This Row],[Column3]]</f>
        <v>-0.30913739000000001</v>
      </c>
      <c r="I67" s="4"/>
      <c r="J67" s="4"/>
      <c r="L67" s="4"/>
      <c r="M67" s="4"/>
    </row>
    <row r="68" spans="1:13" ht="14.5" x14ac:dyDescent="0.35">
      <c r="A68" s="511" t="s">
        <v>793</v>
      </c>
      <c r="B68" s="505"/>
      <c r="C68" s="505">
        <v>0.31149569000000005</v>
      </c>
      <c r="D68" s="230">
        <f>Table4124[[#This Row],[Column2]]-Table4124[[#This Row],[Column3]]</f>
        <v>-0.31149569000000005</v>
      </c>
      <c r="I68" s="4"/>
      <c r="J68" s="4"/>
      <c r="L68" s="4"/>
      <c r="M68" s="4"/>
    </row>
    <row r="69" spans="1:13" ht="14.5" x14ac:dyDescent="0.35">
      <c r="A69" s="511" t="s">
        <v>794</v>
      </c>
      <c r="B69" s="505"/>
      <c r="C69" s="505">
        <v>0.46767652000000004</v>
      </c>
      <c r="D69" s="230">
        <f>Table4124[[#This Row],[Column2]]-Table4124[[#This Row],[Column3]]</f>
        <v>-0.46767652000000004</v>
      </c>
      <c r="I69" s="4"/>
      <c r="J69" s="4"/>
      <c r="L69" s="4"/>
      <c r="M69" s="4"/>
    </row>
    <row r="70" spans="1:13" ht="14.5" x14ac:dyDescent="0.35">
      <c r="A70" s="511" t="s">
        <v>795</v>
      </c>
      <c r="B70" s="505"/>
      <c r="C70" s="505">
        <v>0.47451040999999994</v>
      </c>
      <c r="D70" s="230">
        <f>Table4124[[#This Row],[Column2]]-Table4124[[#This Row],[Column3]]</f>
        <v>-0.47451040999999994</v>
      </c>
      <c r="I70" s="4"/>
      <c r="J70" s="4"/>
      <c r="L70" s="4"/>
      <c r="M70" s="4"/>
    </row>
    <row r="71" spans="1:13" ht="14.5" x14ac:dyDescent="0.35">
      <c r="A71" s="511" t="s">
        <v>796</v>
      </c>
      <c r="B71" s="505">
        <v>1.5931737699999999</v>
      </c>
      <c r="C71" s="505">
        <v>2.0734694299999998</v>
      </c>
      <c r="D71" s="230">
        <f>Table4124[[#This Row],[Column2]]-Table4124[[#This Row],[Column3]]</f>
        <v>-0.4802956599999999</v>
      </c>
      <c r="I71" s="4"/>
      <c r="J71" s="4"/>
      <c r="L71" s="4"/>
      <c r="M71" s="4"/>
    </row>
    <row r="72" spans="1:13" ht="14.5" x14ac:dyDescent="0.35">
      <c r="A72" s="511" t="s">
        <v>797</v>
      </c>
      <c r="B72" s="505"/>
      <c r="C72" s="505">
        <v>0.48920808999999998</v>
      </c>
      <c r="D72" s="230">
        <f>Table4124[[#This Row],[Column2]]-Table4124[[#This Row],[Column3]]</f>
        <v>-0.48920808999999998</v>
      </c>
      <c r="I72" s="4"/>
      <c r="J72" s="4"/>
      <c r="L72" s="4"/>
      <c r="M72" s="4"/>
    </row>
    <row r="73" spans="1:13" ht="14.5" x14ac:dyDescent="0.35">
      <c r="A73" s="511" t="s">
        <v>798</v>
      </c>
      <c r="B73" s="505"/>
      <c r="C73" s="505">
        <v>0.54296117999999993</v>
      </c>
      <c r="D73" s="230">
        <f>Table4124[[#This Row],[Column2]]-Table4124[[#This Row],[Column3]]</f>
        <v>-0.54296117999999993</v>
      </c>
      <c r="I73" s="4"/>
      <c r="J73" s="4"/>
      <c r="L73" s="4"/>
      <c r="M73" s="4"/>
    </row>
    <row r="74" spans="1:13" ht="14.5" x14ac:dyDescent="0.35">
      <c r="A74" s="511" t="s">
        <v>799</v>
      </c>
      <c r="B74" s="505">
        <v>3.4999999999999997E-5</v>
      </c>
      <c r="C74" s="505">
        <v>0.56868225000000006</v>
      </c>
      <c r="D74" s="230">
        <f>Table4124[[#This Row],[Column2]]-Table4124[[#This Row],[Column3]]</f>
        <v>-0.56864725000000005</v>
      </c>
      <c r="I74" s="4"/>
      <c r="J74" s="4"/>
      <c r="L74" s="4"/>
      <c r="M74" s="4"/>
    </row>
    <row r="75" spans="1:13" ht="14.5" x14ac:dyDescent="0.35">
      <c r="A75" s="511" t="s">
        <v>800</v>
      </c>
      <c r="B75" s="505">
        <v>0.21219251</v>
      </c>
      <c r="C75" s="505">
        <v>0.82355121999999992</v>
      </c>
      <c r="D75" s="230">
        <f>Table4124[[#This Row],[Column2]]-Table4124[[#This Row],[Column3]]</f>
        <v>-0.61135870999999997</v>
      </c>
      <c r="I75" s="4"/>
      <c r="J75" s="4"/>
      <c r="L75" s="4"/>
      <c r="M75" s="4"/>
    </row>
    <row r="76" spans="1:13" ht="14.5" x14ac:dyDescent="0.35">
      <c r="A76" s="511" t="s">
        <v>801</v>
      </c>
      <c r="B76" s="505"/>
      <c r="C76" s="505">
        <v>0.62017486999999993</v>
      </c>
      <c r="D76" s="230">
        <f>Table4124[[#This Row],[Column2]]-Table4124[[#This Row],[Column3]]</f>
        <v>-0.62017486999999993</v>
      </c>
      <c r="I76" s="4"/>
      <c r="J76" s="4"/>
      <c r="L76" s="4"/>
      <c r="M76" s="4"/>
    </row>
    <row r="77" spans="1:13" ht="14.5" x14ac:dyDescent="0.35">
      <c r="A77" s="511" t="s">
        <v>802</v>
      </c>
      <c r="B77" s="505">
        <v>5.704476E-2</v>
      </c>
      <c r="C77" s="505">
        <v>0.81636396</v>
      </c>
      <c r="D77" s="230">
        <f>Table4124[[#This Row],[Column2]]-Table4124[[#This Row],[Column3]]</f>
        <v>-0.75931919999999997</v>
      </c>
      <c r="I77" s="4"/>
      <c r="J77" s="4"/>
      <c r="L77" s="4"/>
      <c r="M77" s="4"/>
    </row>
    <row r="78" spans="1:13" ht="14.5" x14ac:dyDescent="0.35">
      <c r="A78" s="511" t="s">
        <v>803</v>
      </c>
      <c r="B78" s="505"/>
      <c r="C78" s="505">
        <v>0.7998153899999999</v>
      </c>
      <c r="D78" s="230">
        <f>Table4124[[#This Row],[Column2]]-Table4124[[#This Row],[Column3]]</f>
        <v>-0.7998153899999999</v>
      </c>
      <c r="I78" s="4"/>
      <c r="J78" s="4"/>
      <c r="L78" s="4"/>
      <c r="M78" s="4"/>
    </row>
    <row r="79" spans="1:13" ht="14.5" x14ac:dyDescent="0.35">
      <c r="A79" s="511" t="s">
        <v>804</v>
      </c>
      <c r="B79" s="505"/>
      <c r="C79" s="505">
        <v>0.83366202</v>
      </c>
      <c r="D79" s="230">
        <f>Table4124[[#This Row],[Column2]]-Table4124[[#This Row],[Column3]]</f>
        <v>-0.83366202</v>
      </c>
      <c r="I79" s="4"/>
      <c r="J79" s="4"/>
      <c r="L79" s="4"/>
      <c r="M79" s="4"/>
    </row>
    <row r="80" spans="1:13" ht="14.5" x14ac:dyDescent="0.35">
      <c r="A80" s="511" t="s">
        <v>805</v>
      </c>
      <c r="B80" s="505"/>
      <c r="C80" s="505">
        <v>0.84739304999999998</v>
      </c>
      <c r="D80" s="230">
        <f>Table4124[[#This Row],[Column2]]-Table4124[[#This Row],[Column3]]</f>
        <v>-0.84739304999999998</v>
      </c>
      <c r="I80" s="4"/>
      <c r="J80" s="4"/>
      <c r="L80" s="4"/>
      <c r="M80" s="4"/>
    </row>
    <row r="81" spans="1:13" ht="14.5" x14ac:dyDescent="0.35">
      <c r="A81" s="511" t="s">
        <v>806</v>
      </c>
      <c r="B81" s="505"/>
      <c r="C81" s="505">
        <v>0.87990761000000006</v>
      </c>
      <c r="D81" s="230">
        <f>Table4124[[#This Row],[Column2]]-Table4124[[#This Row],[Column3]]</f>
        <v>-0.87990761000000006</v>
      </c>
      <c r="I81" s="4"/>
      <c r="J81" s="4"/>
      <c r="L81" s="4"/>
      <c r="M81" s="4"/>
    </row>
    <row r="82" spans="1:13" ht="14.5" x14ac:dyDescent="0.35">
      <c r="A82" s="511" t="s">
        <v>807</v>
      </c>
      <c r="B82" s="505">
        <v>2.8405099999999999E-2</v>
      </c>
      <c r="C82" s="505">
        <v>0.9629422700000001</v>
      </c>
      <c r="D82" s="230">
        <f>Table4124[[#This Row],[Column2]]-Table4124[[#This Row],[Column3]]</f>
        <v>-0.93453717000000014</v>
      </c>
      <c r="I82" s="4"/>
      <c r="J82" s="4"/>
      <c r="L82" s="4"/>
      <c r="M82" s="4"/>
    </row>
    <row r="83" spans="1:13" ht="14.5" x14ac:dyDescent="0.35">
      <c r="A83" s="511" t="s">
        <v>808</v>
      </c>
      <c r="B83" s="505"/>
      <c r="C83" s="505">
        <v>0.9969398599999999</v>
      </c>
      <c r="D83" s="230">
        <f>Table4124[[#This Row],[Column2]]-Table4124[[#This Row],[Column3]]</f>
        <v>-0.9969398599999999</v>
      </c>
      <c r="I83" s="4"/>
      <c r="J83" s="4"/>
      <c r="L83" s="4"/>
      <c r="M83" s="4"/>
    </row>
    <row r="84" spans="1:13" ht="14.5" x14ac:dyDescent="0.35">
      <c r="A84" s="511" t="s">
        <v>809</v>
      </c>
      <c r="B84" s="505"/>
      <c r="C84" s="505">
        <v>1.01741134</v>
      </c>
      <c r="D84" s="230">
        <f>Table4124[[#This Row],[Column2]]-Table4124[[#This Row],[Column3]]</f>
        <v>-1.01741134</v>
      </c>
      <c r="I84" s="4"/>
      <c r="J84" s="4"/>
      <c r="L84" s="4"/>
      <c r="M84" s="4"/>
    </row>
    <row r="85" spans="1:13" ht="14.5" x14ac:dyDescent="0.35">
      <c r="A85" s="511" t="s">
        <v>810</v>
      </c>
      <c r="B85" s="505">
        <v>3.1640000000000001E-2</v>
      </c>
      <c r="C85" s="505">
        <v>1.2163305899999999</v>
      </c>
      <c r="D85" s="230">
        <f>Table4124[[#This Row],[Column2]]-Table4124[[#This Row],[Column3]]</f>
        <v>-1.1846905899999998</v>
      </c>
      <c r="I85" s="4"/>
      <c r="J85" s="4"/>
      <c r="L85" s="4"/>
      <c r="M85" s="4"/>
    </row>
    <row r="86" spans="1:13" ht="14.5" x14ac:dyDescent="0.35">
      <c r="A86" s="511" t="s">
        <v>811</v>
      </c>
      <c r="B86" s="505"/>
      <c r="C86" s="505">
        <v>1.26937597</v>
      </c>
      <c r="D86" s="230">
        <f>Table4124[[#This Row],[Column2]]-Table4124[[#This Row],[Column3]]</f>
        <v>-1.26937597</v>
      </c>
      <c r="I86" s="4"/>
      <c r="J86" s="4"/>
      <c r="L86" s="4"/>
      <c r="M86" s="4"/>
    </row>
    <row r="87" spans="1:13" ht="14.5" x14ac:dyDescent="0.35">
      <c r="A87" s="511" t="s">
        <v>812</v>
      </c>
      <c r="B87" s="505">
        <v>5.0000000000000002E-5</v>
      </c>
      <c r="C87" s="505">
        <v>1.3287006800000003</v>
      </c>
      <c r="D87" s="230">
        <f>Table4124[[#This Row],[Column2]]-Table4124[[#This Row],[Column3]]</f>
        <v>-1.3286506800000002</v>
      </c>
      <c r="I87" s="4"/>
      <c r="J87" s="4"/>
      <c r="L87" s="4"/>
      <c r="M87" s="4"/>
    </row>
    <row r="88" spans="1:13" ht="14.5" x14ac:dyDescent="0.35">
      <c r="A88" s="511" t="s">
        <v>813</v>
      </c>
      <c r="B88" s="505"/>
      <c r="C88" s="505">
        <v>1.33328797</v>
      </c>
      <c r="D88" s="230">
        <f>Table4124[[#This Row],[Column2]]-Table4124[[#This Row],[Column3]]</f>
        <v>-1.33328797</v>
      </c>
      <c r="I88" s="4"/>
      <c r="J88" s="4"/>
      <c r="L88" s="4"/>
      <c r="M88" s="4"/>
    </row>
    <row r="89" spans="1:13" ht="14.5" x14ac:dyDescent="0.35">
      <c r="A89" s="511" t="s">
        <v>814</v>
      </c>
      <c r="B89" s="505">
        <v>6.8252499999999997E-3</v>
      </c>
      <c r="C89" s="505">
        <v>1.3713164</v>
      </c>
      <c r="D89" s="230">
        <f>Table4124[[#This Row],[Column2]]-Table4124[[#This Row],[Column3]]</f>
        <v>-1.3644911500000001</v>
      </c>
      <c r="I89" s="4"/>
      <c r="J89" s="4"/>
      <c r="L89" s="4"/>
      <c r="M89" s="4"/>
    </row>
    <row r="90" spans="1:13" ht="14.5" x14ac:dyDescent="0.35">
      <c r="A90" s="511" t="s">
        <v>815</v>
      </c>
      <c r="B90" s="505"/>
      <c r="C90" s="505">
        <v>1.5646354099999999</v>
      </c>
      <c r="D90" s="230">
        <f>Table4124[[#This Row],[Column2]]-Table4124[[#This Row],[Column3]]</f>
        <v>-1.5646354099999999</v>
      </c>
      <c r="I90" s="4"/>
      <c r="J90" s="4"/>
      <c r="L90" s="4"/>
      <c r="M90" s="4"/>
    </row>
    <row r="91" spans="1:13" ht="14.5" x14ac:dyDescent="0.35">
      <c r="A91" s="511" t="s">
        <v>816</v>
      </c>
      <c r="B91" s="505"/>
      <c r="C91" s="505">
        <v>1.7228323999999999</v>
      </c>
      <c r="D91" s="230">
        <f>Table4124[[#This Row],[Column2]]-Table4124[[#This Row],[Column3]]</f>
        <v>-1.7228323999999999</v>
      </c>
      <c r="I91" s="4"/>
      <c r="J91" s="4"/>
      <c r="L91" s="4"/>
      <c r="M91" s="4"/>
    </row>
    <row r="92" spans="1:13" ht="14.5" x14ac:dyDescent="0.35">
      <c r="A92" s="511" t="s">
        <v>817</v>
      </c>
      <c r="B92" s="505">
        <v>1.7902700000000001E-3</v>
      </c>
      <c r="C92" s="505">
        <v>1.7473996499999997</v>
      </c>
      <c r="D92" s="230">
        <f>Table4124[[#This Row],[Column2]]-Table4124[[#This Row],[Column3]]</f>
        <v>-1.7456093799999997</v>
      </c>
      <c r="I92" s="4"/>
      <c r="J92" s="4"/>
      <c r="L92" s="4"/>
      <c r="M92" s="4"/>
    </row>
    <row r="93" spans="1:13" ht="14.5" x14ac:dyDescent="0.35">
      <c r="A93" s="511" t="s">
        <v>818</v>
      </c>
      <c r="B93" s="505"/>
      <c r="C93" s="505">
        <v>1.7596229999999999</v>
      </c>
      <c r="D93" s="230">
        <f>Table4124[[#This Row],[Column2]]-Table4124[[#This Row],[Column3]]</f>
        <v>-1.7596229999999999</v>
      </c>
      <c r="I93" s="4"/>
      <c r="J93" s="4"/>
      <c r="L93" s="4"/>
      <c r="M93" s="4"/>
    </row>
    <row r="94" spans="1:13" ht="14.5" x14ac:dyDescent="0.35">
      <c r="A94" s="511" t="s">
        <v>819</v>
      </c>
      <c r="B94" s="505">
        <v>1.9928000000000001E-2</v>
      </c>
      <c r="C94" s="505">
        <v>1.7927476400000002</v>
      </c>
      <c r="D94" s="230">
        <f>Table4124[[#This Row],[Column2]]-Table4124[[#This Row],[Column3]]</f>
        <v>-1.7728196400000003</v>
      </c>
      <c r="I94" s="4"/>
      <c r="J94" s="4"/>
      <c r="L94" s="4"/>
      <c r="M94" s="4"/>
    </row>
    <row r="95" spans="1:13" ht="14.5" x14ac:dyDescent="0.35">
      <c r="A95" s="511" t="s">
        <v>820</v>
      </c>
      <c r="B95" s="505">
        <v>1.0000000000000001E-5</v>
      </c>
      <c r="C95" s="505">
        <v>1.9920576800000001</v>
      </c>
      <c r="D95" s="230">
        <f>Table4124[[#This Row],[Column2]]-Table4124[[#This Row],[Column3]]</f>
        <v>-1.99204768</v>
      </c>
      <c r="I95" s="4"/>
      <c r="J95" s="4"/>
      <c r="L95" s="4"/>
      <c r="M95" s="4"/>
    </row>
    <row r="96" spans="1:13" ht="14.5" x14ac:dyDescent="0.35">
      <c r="A96" s="511" t="s">
        <v>821</v>
      </c>
      <c r="B96" s="505">
        <v>2.9420000000000002E-3</v>
      </c>
      <c r="C96" s="505">
        <v>2.13990759</v>
      </c>
      <c r="D96" s="230">
        <f>Table4124[[#This Row],[Column2]]-Table4124[[#This Row],[Column3]]</f>
        <v>-2.13696559</v>
      </c>
      <c r="I96" s="4"/>
      <c r="J96" s="4"/>
      <c r="L96" s="4"/>
      <c r="M96" s="4"/>
    </row>
    <row r="97" spans="1:13" ht="14.5" x14ac:dyDescent="0.35">
      <c r="A97" s="511" t="s">
        <v>822</v>
      </c>
      <c r="B97" s="505">
        <v>4.2000000000000006E-3</v>
      </c>
      <c r="C97" s="505">
        <v>2.3817011400000001</v>
      </c>
      <c r="D97" s="230">
        <f>Table4124[[#This Row],[Column2]]-Table4124[[#This Row],[Column3]]</f>
        <v>-2.3775011400000001</v>
      </c>
      <c r="I97" s="4"/>
      <c r="J97" s="4"/>
      <c r="L97" s="4"/>
      <c r="M97" s="4"/>
    </row>
    <row r="98" spans="1:13" ht="14.5" x14ac:dyDescent="0.35">
      <c r="A98" s="511" t="s">
        <v>823</v>
      </c>
      <c r="B98" s="505">
        <v>3.1711200000000004E-3</v>
      </c>
      <c r="C98" s="505">
        <v>2.4854065599999999</v>
      </c>
      <c r="D98" s="230">
        <f>Table4124[[#This Row],[Column2]]-Table4124[[#This Row],[Column3]]</f>
        <v>-2.4822354399999997</v>
      </c>
      <c r="I98" s="4"/>
      <c r="J98" s="4"/>
      <c r="L98" s="4"/>
      <c r="M98" s="4"/>
    </row>
    <row r="99" spans="1:13" ht="14.5" x14ac:dyDescent="0.35">
      <c r="A99" s="511" t="s">
        <v>824</v>
      </c>
      <c r="B99" s="505">
        <v>1.7881300000000002E-3</v>
      </c>
      <c r="C99" s="505">
        <v>2.6907641</v>
      </c>
      <c r="D99" s="230">
        <f>Table4124[[#This Row],[Column2]]-Table4124[[#This Row],[Column3]]</f>
        <v>-2.68897597</v>
      </c>
      <c r="I99" s="4"/>
      <c r="J99" s="4"/>
      <c r="L99" s="4"/>
      <c r="M99" s="4"/>
    </row>
    <row r="100" spans="1:13" ht="14.5" x14ac:dyDescent="0.35">
      <c r="A100" s="511" t="s">
        <v>825</v>
      </c>
      <c r="B100" s="505"/>
      <c r="C100" s="505">
        <v>2.7192193899999997</v>
      </c>
      <c r="D100" s="230">
        <f>Table4124[[#This Row],[Column2]]-Table4124[[#This Row],[Column3]]</f>
        <v>-2.7192193899999997</v>
      </c>
      <c r="I100" s="4"/>
      <c r="J100" s="4"/>
      <c r="L100" s="4"/>
      <c r="M100" s="4"/>
    </row>
    <row r="101" spans="1:13" ht="14.5" x14ac:dyDescent="0.35">
      <c r="A101" s="511" t="s">
        <v>826</v>
      </c>
      <c r="B101" s="505">
        <v>17.783973119999999</v>
      </c>
      <c r="C101" s="505">
        <v>20.69283755</v>
      </c>
      <c r="D101" s="230">
        <f>Table4124[[#This Row],[Column2]]-Table4124[[#This Row],[Column3]]</f>
        <v>-2.9088644300000013</v>
      </c>
      <c r="I101" s="4"/>
      <c r="J101" s="4"/>
      <c r="L101" s="4"/>
      <c r="M101" s="4"/>
    </row>
    <row r="102" spans="1:13" ht="14.5" x14ac:dyDescent="0.35">
      <c r="A102" s="511" t="s">
        <v>827</v>
      </c>
      <c r="B102" s="505">
        <v>0.31324667</v>
      </c>
      <c r="C102" s="505">
        <v>3.6938989100000006</v>
      </c>
      <c r="D102" s="230">
        <f>Table4124[[#This Row],[Column2]]-Table4124[[#This Row],[Column3]]</f>
        <v>-3.3806522400000008</v>
      </c>
      <c r="I102" s="4"/>
      <c r="J102" s="4"/>
      <c r="L102" s="4"/>
      <c r="M102" s="4"/>
    </row>
    <row r="103" spans="1:13" ht="14.5" x14ac:dyDescent="0.35">
      <c r="A103" s="511" t="s">
        <v>828</v>
      </c>
      <c r="B103" s="505">
        <v>9.2479040000000012E-2</v>
      </c>
      <c r="C103" s="505">
        <v>3.9530590400000003</v>
      </c>
      <c r="D103" s="230">
        <f>Table4124[[#This Row],[Column2]]-Table4124[[#This Row],[Column3]]</f>
        <v>-3.8605800000000001</v>
      </c>
      <c r="I103" s="4"/>
      <c r="J103" s="4"/>
      <c r="L103" s="4"/>
      <c r="M103" s="4"/>
    </row>
    <row r="104" spans="1:13" ht="14.5" x14ac:dyDescent="0.35">
      <c r="A104" s="511" t="s">
        <v>829</v>
      </c>
      <c r="B104" s="505">
        <v>1.06747722</v>
      </c>
      <c r="C104" s="505">
        <v>4.9942215900000004</v>
      </c>
      <c r="D104" s="230">
        <f>Table4124[[#This Row],[Column2]]-Table4124[[#This Row],[Column3]]</f>
        <v>-3.9267443700000007</v>
      </c>
      <c r="I104" s="4"/>
      <c r="J104" s="4"/>
      <c r="L104" s="4"/>
      <c r="M104" s="4"/>
    </row>
    <row r="105" spans="1:13" ht="14.5" x14ac:dyDescent="0.35">
      <c r="A105" s="511" t="s">
        <v>830</v>
      </c>
      <c r="B105" s="505"/>
      <c r="C105" s="505">
        <v>3.9639589900000005</v>
      </c>
      <c r="D105" s="230">
        <f>Table4124[[#This Row],[Column2]]-Table4124[[#This Row],[Column3]]</f>
        <v>-3.9639589900000005</v>
      </c>
      <c r="I105" s="4"/>
      <c r="J105" s="4"/>
      <c r="L105" s="4"/>
      <c r="M105" s="4"/>
    </row>
    <row r="106" spans="1:13" ht="14.5" x14ac:dyDescent="0.35">
      <c r="A106" s="511" t="s">
        <v>831</v>
      </c>
      <c r="B106" s="505"/>
      <c r="C106" s="505">
        <v>4.0225905100000006</v>
      </c>
      <c r="D106" s="230">
        <f>Table4124[[#This Row],[Column2]]-Table4124[[#This Row],[Column3]]</f>
        <v>-4.0225905100000006</v>
      </c>
      <c r="I106" s="4"/>
      <c r="J106" s="4"/>
      <c r="L106" s="4"/>
      <c r="M106" s="4"/>
    </row>
    <row r="107" spans="1:13" ht="14.5" x14ac:dyDescent="0.35">
      <c r="A107" s="511" t="s">
        <v>832</v>
      </c>
      <c r="B107" s="505"/>
      <c r="C107" s="505">
        <v>4.1302784700000004</v>
      </c>
      <c r="D107" s="230">
        <f>Table4124[[#This Row],[Column2]]-Table4124[[#This Row],[Column3]]</f>
        <v>-4.1302784700000004</v>
      </c>
      <c r="I107" s="4"/>
      <c r="J107" s="4"/>
      <c r="L107" s="4"/>
      <c r="M107" s="4"/>
    </row>
    <row r="108" spans="1:13" ht="14.5" x14ac:dyDescent="0.35">
      <c r="A108" s="511" t="s">
        <v>833</v>
      </c>
      <c r="B108" s="505">
        <v>1.2800000000000001E-3</v>
      </c>
      <c r="C108" s="505">
        <v>4.492694000000002</v>
      </c>
      <c r="D108" s="230">
        <f>Table4124[[#This Row],[Column2]]-Table4124[[#This Row],[Column3]]</f>
        <v>-4.4914140000000016</v>
      </c>
      <c r="I108" s="4"/>
      <c r="J108" s="4"/>
      <c r="L108" s="4"/>
      <c r="M108" s="4"/>
    </row>
    <row r="109" spans="1:13" ht="14.5" x14ac:dyDescent="0.35">
      <c r="A109" s="511" t="s">
        <v>834</v>
      </c>
      <c r="B109" s="505">
        <v>2.0000000000000002E-5</v>
      </c>
      <c r="C109" s="505">
        <v>4.5119795099999997</v>
      </c>
      <c r="D109" s="230">
        <f>Table4124[[#This Row],[Column2]]-Table4124[[#This Row],[Column3]]</f>
        <v>-4.5119595099999996</v>
      </c>
      <c r="I109" s="4"/>
      <c r="J109" s="4"/>
      <c r="L109" s="4"/>
      <c r="M109" s="4"/>
    </row>
    <row r="110" spans="1:13" ht="14.5" x14ac:dyDescent="0.35">
      <c r="A110" s="511" t="s">
        <v>835</v>
      </c>
      <c r="B110" s="505">
        <v>6.7064399999999996E-2</v>
      </c>
      <c r="C110" s="505">
        <v>4.5810902800000006</v>
      </c>
      <c r="D110" s="230">
        <f>Table4124[[#This Row],[Column2]]-Table4124[[#This Row],[Column3]]</f>
        <v>-4.514025880000001</v>
      </c>
      <c r="I110" s="4"/>
      <c r="J110" s="4"/>
      <c r="L110" s="4"/>
      <c r="M110" s="4"/>
    </row>
    <row r="111" spans="1:13" ht="14.5" x14ac:dyDescent="0.35">
      <c r="A111" s="511" t="s">
        <v>836</v>
      </c>
      <c r="B111" s="505"/>
      <c r="C111" s="505">
        <v>5.0430982699999998</v>
      </c>
      <c r="D111" s="230">
        <f>Table4124[[#This Row],[Column2]]-Table4124[[#This Row],[Column3]]</f>
        <v>-5.0430982699999998</v>
      </c>
      <c r="I111" s="4"/>
      <c r="J111" s="4"/>
      <c r="L111" s="4"/>
      <c r="M111" s="4"/>
    </row>
    <row r="112" spans="1:13" ht="14.5" x14ac:dyDescent="0.35">
      <c r="A112" s="511" t="s">
        <v>837</v>
      </c>
      <c r="B112" s="505">
        <v>1.5181999999999999E-3</v>
      </c>
      <c r="C112" s="505">
        <v>5.1173363700000003</v>
      </c>
      <c r="D112" s="230">
        <f>Table4124[[#This Row],[Column2]]-Table4124[[#This Row],[Column3]]</f>
        <v>-5.1158181700000007</v>
      </c>
      <c r="I112" s="4"/>
      <c r="J112" s="4"/>
      <c r="L112" s="4"/>
      <c r="M112" s="4"/>
    </row>
    <row r="113" spans="1:13" ht="14.5" x14ac:dyDescent="0.35">
      <c r="A113" s="511" t="s">
        <v>838</v>
      </c>
      <c r="B113" s="505">
        <v>0.92195364999999996</v>
      </c>
      <c r="C113" s="505">
        <v>6.04954474</v>
      </c>
      <c r="D113" s="230">
        <f>Table4124[[#This Row],[Column2]]-Table4124[[#This Row],[Column3]]</f>
        <v>-5.1275910900000001</v>
      </c>
      <c r="I113" s="4"/>
      <c r="J113" s="4"/>
      <c r="L113" s="4"/>
      <c r="M113" s="4"/>
    </row>
    <row r="114" spans="1:13" ht="14.5" x14ac:dyDescent="0.35">
      <c r="A114" s="511" t="s">
        <v>839</v>
      </c>
      <c r="B114" s="505">
        <v>0.47298267000000005</v>
      </c>
      <c r="C114" s="505">
        <v>5.6882146799999989</v>
      </c>
      <c r="D114" s="230">
        <f>Table4124[[#This Row],[Column2]]-Table4124[[#This Row],[Column3]]</f>
        <v>-5.2152320099999985</v>
      </c>
      <c r="I114" s="4"/>
      <c r="J114" s="4"/>
      <c r="L114" s="4"/>
      <c r="M114" s="4"/>
    </row>
    <row r="115" spans="1:13" ht="14.5" x14ac:dyDescent="0.35">
      <c r="A115" s="511" t="s">
        <v>840</v>
      </c>
      <c r="B115" s="505">
        <v>5.1251390000000001E-2</v>
      </c>
      <c r="C115" s="505">
        <v>5.4929844399999999</v>
      </c>
      <c r="D115" s="230">
        <f>Table4124[[#This Row],[Column2]]-Table4124[[#This Row],[Column3]]</f>
        <v>-5.4417330499999998</v>
      </c>
      <c r="I115" s="4"/>
      <c r="J115" s="4"/>
      <c r="L115" s="4"/>
      <c r="M115" s="4"/>
    </row>
    <row r="116" spans="1:13" ht="14.5" x14ac:dyDescent="0.35">
      <c r="A116" s="511" t="s">
        <v>841</v>
      </c>
      <c r="B116" s="505">
        <v>10.285167580000001</v>
      </c>
      <c r="C116" s="505">
        <v>15.88616305</v>
      </c>
      <c r="D116" s="230">
        <f>Table4124[[#This Row],[Column2]]-Table4124[[#This Row],[Column3]]</f>
        <v>-5.6009954699999991</v>
      </c>
      <c r="I116" s="4"/>
      <c r="J116" s="4"/>
      <c r="L116" s="4"/>
      <c r="M116" s="4"/>
    </row>
    <row r="117" spans="1:13" ht="14.5" x14ac:dyDescent="0.35">
      <c r="A117" s="511" t="s">
        <v>842</v>
      </c>
      <c r="B117" s="505">
        <v>0.19640184999999999</v>
      </c>
      <c r="C117" s="505">
        <v>6.0412941500000006</v>
      </c>
      <c r="D117" s="230">
        <f>Table4124[[#This Row],[Column2]]-Table4124[[#This Row],[Column3]]</f>
        <v>-5.8448923000000006</v>
      </c>
      <c r="I117" s="4"/>
      <c r="J117" s="4"/>
      <c r="L117" s="4"/>
      <c r="M117" s="4"/>
    </row>
    <row r="118" spans="1:13" ht="14.5" x14ac:dyDescent="0.35">
      <c r="A118" s="511" t="s">
        <v>843</v>
      </c>
      <c r="B118" s="505">
        <v>5.7076049999999996E-2</v>
      </c>
      <c r="C118" s="505">
        <v>5.9608516500000004</v>
      </c>
      <c r="D118" s="230">
        <f>Table4124[[#This Row],[Column2]]-Table4124[[#This Row],[Column3]]</f>
        <v>-5.9037756000000003</v>
      </c>
      <c r="I118" s="4"/>
      <c r="J118" s="4"/>
      <c r="L118" s="4"/>
      <c r="M118" s="4"/>
    </row>
    <row r="119" spans="1:13" ht="14.5" x14ac:dyDescent="0.35">
      <c r="A119" s="511" t="s">
        <v>844</v>
      </c>
      <c r="B119" s="505"/>
      <c r="C119" s="505">
        <v>5.9223675399999989</v>
      </c>
      <c r="D119" s="230">
        <f>Table4124[[#This Row],[Column2]]-Table4124[[#This Row],[Column3]]</f>
        <v>-5.9223675399999989</v>
      </c>
      <c r="I119" s="4"/>
      <c r="J119" s="4"/>
      <c r="L119" s="4"/>
      <c r="M119" s="4"/>
    </row>
    <row r="120" spans="1:13" ht="14.5" x14ac:dyDescent="0.35">
      <c r="A120" s="511" t="s">
        <v>845</v>
      </c>
      <c r="B120" s="505">
        <v>4.5121349999999998E-2</v>
      </c>
      <c r="C120" s="505">
        <v>6.20105431</v>
      </c>
      <c r="D120" s="230">
        <f>Table4124[[#This Row],[Column2]]-Table4124[[#This Row],[Column3]]</f>
        <v>-6.1559329600000003</v>
      </c>
      <c r="I120" s="4"/>
      <c r="J120" s="4"/>
      <c r="L120" s="4"/>
      <c r="M120" s="4"/>
    </row>
    <row r="121" spans="1:13" ht="14.5" x14ac:dyDescent="0.35">
      <c r="A121" s="511" t="s">
        <v>846</v>
      </c>
      <c r="B121" s="505">
        <v>2.734232E-2</v>
      </c>
      <c r="C121" s="505">
        <v>6.2721584500000001</v>
      </c>
      <c r="D121" s="230">
        <f>Table4124[[#This Row],[Column2]]-Table4124[[#This Row],[Column3]]</f>
        <v>-6.2448161300000002</v>
      </c>
      <c r="I121" s="4"/>
      <c r="J121" s="4"/>
      <c r="L121" s="4"/>
      <c r="M121" s="4"/>
    </row>
    <row r="122" spans="1:13" ht="14.5" x14ac:dyDescent="0.35">
      <c r="A122" s="511" t="s">
        <v>847</v>
      </c>
      <c r="B122" s="505">
        <v>7.7658089999999999E-2</v>
      </c>
      <c r="C122" s="505">
        <v>6.7105626699999998</v>
      </c>
      <c r="D122" s="230">
        <f>Table4124[[#This Row],[Column2]]-Table4124[[#This Row],[Column3]]</f>
        <v>-6.6329045799999999</v>
      </c>
      <c r="I122" s="4"/>
      <c r="J122" s="4"/>
      <c r="L122" s="4"/>
      <c r="M122" s="4"/>
    </row>
    <row r="123" spans="1:13" ht="14.5" x14ac:dyDescent="0.35">
      <c r="A123" s="511" t="s">
        <v>848</v>
      </c>
      <c r="B123" s="505"/>
      <c r="C123" s="505">
        <v>6.8777660199999993</v>
      </c>
      <c r="D123" s="230">
        <f>Table4124[[#This Row],[Column2]]-Table4124[[#This Row],[Column3]]</f>
        <v>-6.8777660199999993</v>
      </c>
      <c r="I123" s="4"/>
      <c r="J123" s="4"/>
      <c r="L123" s="4"/>
      <c r="M123" s="4"/>
    </row>
    <row r="124" spans="1:13" ht="14.5" x14ac:dyDescent="0.35">
      <c r="A124" s="511" t="s">
        <v>849</v>
      </c>
      <c r="B124" s="505">
        <v>1.4997999999999999E-2</v>
      </c>
      <c r="C124" s="505">
        <v>6.9811286100000016</v>
      </c>
      <c r="D124" s="230">
        <f>Table4124[[#This Row],[Column2]]-Table4124[[#This Row],[Column3]]</f>
        <v>-6.9661306100000013</v>
      </c>
      <c r="I124" s="4"/>
      <c r="J124" s="4"/>
      <c r="L124" s="4"/>
      <c r="M124" s="4"/>
    </row>
    <row r="125" spans="1:13" ht="14.5" x14ac:dyDescent="0.35">
      <c r="A125" s="511" t="s">
        <v>850</v>
      </c>
      <c r="B125" s="505">
        <v>7.1353486900000007</v>
      </c>
      <c r="C125" s="505">
        <v>14.117866230000006</v>
      </c>
      <c r="D125" s="230">
        <f>Table4124[[#This Row],[Column2]]-Table4124[[#This Row],[Column3]]</f>
        <v>-6.9825175400000052</v>
      </c>
      <c r="I125" s="4"/>
      <c r="J125" s="4"/>
      <c r="L125" s="4"/>
      <c r="M125" s="4"/>
    </row>
    <row r="126" spans="1:13" ht="14.5" x14ac:dyDescent="0.35">
      <c r="A126" s="511" t="s">
        <v>851</v>
      </c>
      <c r="B126" s="505">
        <v>4.4801200000000006E-2</v>
      </c>
      <c r="C126" s="505">
        <v>7.6083528500000019</v>
      </c>
      <c r="D126" s="230">
        <f>Table4124[[#This Row],[Column2]]-Table4124[[#This Row],[Column3]]</f>
        <v>-7.5635516500000017</v>
      </c>
      <c r="I126" s="4"/>
      <c r="J126" s="4"/>
      <c r="L126" s="4"/>
      <c r="M126" s="4"/>
    </row>
    <row r="127" spans="1:13" ht="14.5" x14ac:dyDescent="0.35">
      <c r="A127" s="511" t="s">
        <v>852</v>
      </c>
      <c r="B127" s="505">
        <v>7.1126599999999998E-2</v>
      </c>
      <c r="C127" s="505">
        <v>8.0481927400000011</v>
      </c>
      <c r="D127" s="230">
        <f>Table4124[[#This Row],[Column2]]-Table4124[[#This Row],[Column3]]</f>
        <v>-7.9770661400000007</v>
      </c>
      <c r="I127" s="4"/>
      <c r="J127" s="4"/>
      <c r="L127" s="4"/>
      <c r="M127" s="4"/>
    </row>
    <row r="128" spans="1:13" ht="14.5" x14ac:dyDescent="0.35">
      <c r="A128" s="511" t="s">
        <v>853</v>
      </c>
      <c r="B128" s="505"/>
      <c r="C128" s="505">
        <v>8.0859177099999986</v>
      </c>
      <c r="D128" s="230">
        <f>Table4124[[#This Row],[Column2]]-Table4124[[#This Row],[Column3]]</f>
        <v>-8.0859177099999986</v>
      </c>
      <c r="I128" s="4"/>
      <c r="J128" s="4"/>
      <c r="L128" s="4"/>
      <c r="M128" s="4"/>
    </row>
    <row r="129" spans="1:13" ht="14.5" x14ac:dyDescent="0.35">
      <c r="A129" s="511" t="s">
        <v>854</v>
      </c>
      <c r="B129" s="505">
        <v>0.36438395000000001</v>
      </c>
      <c r="C129" s="505">
        <v>8.4654479599999988</v>
      </c>
      <c r="D129" s="230">
        <f>Table4124[[#This Row],[Column2]]-Table4124[[#This Row],[Column3]]</f>
        <v>-8.1010640099999982</v>
      </c>
      <c r="I129" s="4"/>
      <c r="J129" s="4"/>
      <c r="L129" s="4"/>
      <c r="M129" s="4"/>
    </row>
    <row r="130" spans="1:13" ht="14.5" x14ac:dyDescent="0.35">
      <c r="A130" s="511" t="s">
        <v>855</v>
      </c>
      <c r="B130" s="505"/>
      <c r="C130" s="505">
        <v>8.5295285400000012</v>
      </c>
      <c r="D130" s="230">
        <f>Table4124[[#This Row],[Column2]]-Table4124[[#This Row],[Column3]]</f>
        <v>-8.5295285400000012</v>
      </c>
      <c r="I130" s="4"/>
      <c r="J130" s="4"/>
      <c r="L130" s="4"/>
      <c r="M130" s="4"/>
    </row>
    <row r="131" spans="1:13" ht="14.5" x14ac:dyDescent="0.35">
      <c r="A131" s="511" t="s">
        <v>856</v>
      </c>
      <c r="B131" s="505"/>
      <c r="C131" s="505">
        <v>8.5722899899999998</v>
      </c>
      <c r="D131" s="230">
        <f>Table4124[[#This Row],[Column2]]-Table4124[[#This Row],[Column3]]</f>
        <v>-8.5722899899999998</v>
      </c>
      <c r="I131" s="4"/>
      <c r="J131" s="4"/>
      <c r="L131" s="4"/>
      <c r="M131" s="4"/>
    </row>
    <row r="132" spans="1:13" ht="14.5" x14ac:dyDescent="0.35">
      <c r="A132" s="511" t="s">
        <v>857</v>
      </c>
      <c r="B132" s="505">
        <v>0.67946141000000004</v>
      </c>
      <c r="C132" s="505">
        <v>9.4367052299999994</v>
      </c>
      <c r="D132" s="230">
        <f>Table4124[[#This Row],[Column2]]-Table4124[[#This Row],[Column3]]</f>
        <v>-8.7572438199999993</v>
      </c>
      <c r="I132" s="4"/>
      <c r="J132" s="4"/>
      <c r="L132" s="4"/>
      <c r="M132" s="4"/>
    </row>
    <row r="133" spans="1:13" ht="14.5" x14ac:dyDescent="0.35">
      <c r="A133" s="511" t="s">
        <v>858</v>
      </c>
      <c r="B133" s="505">
        <v>2.1307848199999997</v>
      </c>
      <c r="C133" s="505">
        <v>11.140828159999998</v>
      </c>
      <c r="D133" s="230">
        <f>Table4124[[#This Row],[Column2]]-Table4124[[#This Row],[Column3]]</f>
        <v>-9.0100433399999993</v>
      </c>
      <c r="I133" s="4"/>
      <c r="J133" s="4"/>
      <c r="L133" s="4"/>
      <c r="M133" s="4"/>
    </row>
    <row r="134" spans="1:13" ht="14.5" x14ac:dyDescent="0.35">
      <c r="A134" s="511" t="s">
        <v>859</v>
      </c>
      <c r="B134" s="505">
        <v>6.8816479999999999E-2</v>
      </c>
      <c r="C134" s="505">
        <v>9.2149236900000027</v>
      </c>
      <c r="D134" s="230">
        <f>Table4124[[#This Row],[Column2]]-Table4124[[#This Row],[Column3]]</f>
        <v>-9.146107210000002</v>
      </c>
      <c r="I134" s="4"/>
      <c r="J134" s="4"/>
      <c r="L134" s="4"/>
      <c r="M134" s="4"/>
    </row>
    <row r="135" spans="1:13" ht="14.5" x14ac:dyDescent="0.35">
      <c r="A135" s="511" t="s">
        <v>860</v>
      </c>
      <c r="B135" s="505"/>
      <c r="C135" s="505">
        <v>9.4800253399999992</v>
      </c>
      <c r="D135" s="230">
        <f>Table4124[[#This Row],[Column2]]-Table4124[[#This Row],[Column3]]</f>
        <v>-9.4800253399999992</v>
      </c>
      <c r="I135" s="4"/>
      <c r="J135" s="4"/>
      <c r="L135" s="4"/>
      <c r="M135" s="4"/>
    </row>
    <row r="136" spans="1:13" ht="14.5" x14ac:dyDescent="0.35">
      <c r="A136" s="511" t="s">
        <v>861</v>
      </c>
      <c r="B136" s="505">
        <v>7.6214897300000004</v>
      </c>
      <c r="C136" s="505">
        <v>17.141235509999998</v>
      </c>
      <c r="D136" s="230">
        <f>Table4124[[#This Row],[Column2]]-Table4124[[#This Row],[Column3]]</f>
        <v>-9.5197457799999974</v>
      </c>
      <c r="I136" s="4"/>
      <c r="J136" s="4"/>
      <c r="L136" s="4"/>
      <c r="M136" s="4"/>
    </row>
    <row r="137" spans="1:13" ht="14.5" x14ac:dyDescent="0.35">
      <c r="A137" s="511" t="s">
        <v>862</v>
      </c>
      <c r="B137" s="505">
        <v>1.6717188200000002</v>
      </c>
      <c r="C137" s="505">
        <v>11.707517249999995</v>
      </c>
      <c r="D137" s="230">
        <f>Table4124[[#This Row],[Column2]]-Table4124[[#This Row],[Column3]]</f>
        <v>-10.035798429999994</v>
      </c>
      <c r="I137" s="4"/>
      <c r="J137" s="4"/>
      <c r="L137" s="4"/>
      <c r="M137" s="4"/>
    </row>
    <row r="138" spans="1:13" ht="14.5" x14ac:dyDescent="0.35">
      <c r="A138" s="511" t="s">
        <v>863</v>
      </c>
      <c r="B138" s="505">
        <v>7.5000000000000002E-4</v>
      </c>
      <c r="C138" s="505">
        <v>10.505923049999998</v>
      </c>
      <c r="D138" s="230">
        <f>Table4124[[#This Row],[Column2]]-Table4124[[#This Row],[Column3]]</f>
        <v>-10.505173049999998</v>
      </c>
      <c r="I138" s="4"/>
      <c r="J138" s="4"/>
      <c r="L138" s="4"/>
      <c r="M138" s="4"/>
    </row>
    <row r="139" spans="1:13" ht="14.5" x14ac:dyDescent="0.35">
      <c r="A139" s="511" t="s">
        <v>864</v>
      </c>
      <c r="B139" s="505">
        <v>2.4937245100000003</v>
      </c>
      <c r="C139" s="505">
        <v>13.2053642</v>
      </c>
      <c r="D139" s="230">
        <f>Table4124[[#This Row],[Column2]]-Table4124[[#This Row],[Column3]]</f>
        <v>-10.71163969</v>
      </c>
      <c r="I139" s="4"/>
      <c r="J139" s="4"/>
      <c r="L139" s="4"/>
      <c r="M139" s="4"/>
    </row>
    <row r="140" spans="1:13" ht="14.5" x14ac:dyDescent="0.35">
      <c r="A140" s="511" t="s">
        <v>865</v>
      </c>
      <c r="B140" s="505">
        <v>0.14937599999999998</v>
      </c>
      <c r="C140" s="505">
        <v>10.930420470000001</v>
      </c>
      <c r="D140" s="230">
        <f>Table4124[[#This Row],[Column2]]-Table4124[[#This Row],[Column3]]</f>
        <v>-10.781044470000001</v>
      </c>
      <c r="I140" s="4"/>
      <c r="J140" s="4"/>
      <c r="L140" s="4"/>
      <c r="M140" s="4"/>
    </row>
    <row r="141" spans="1:13" ht="14.5" x14ac:dyDescent="0.35">
      <c r="A141" s="511" t="s">
        <v>866</v>
      </c>
      <c r="B141" s="505">
        <v>2.9362840000000005E-2</v>
      </c>
      <c r="C141" s="505">
        <v>10.867983789999997</v>
      </c>
      <c r="D141" s="230">
        <f>Table4124[[#This Row],[Column2]]-Table4124[[#This Row],[Column3]]</f>
        <v>-10.838620949999997</v>
      </c>
      <c r="I141" s="4"/>
      <c r="J141" s="4"/>
      <c r="L141" s="4"/>
      <c r="M141" s="4"/>
    </row>
    <row r="142" spans="1:13" ht="14.5" x14ac:dyDescent="0.35">
      <c r="A142" s="511" t="s">
        <v>867</v>
      </c>
      <c r="B142" s="505">
        <v>7.9314400000000007E-2</v>
      </c>
      <c r="C142" s="505">
        <v>10.919620570000005</v>
      </c>
      <c r="D142" s="230">
        <f>Table4124[[#This Row],[Column2]]-Table4124[[#This Row],[Column3]]</f>
        <v>-10.840306170000005</v>
      </c>
      <c r="I142" s="4"/>
      <c r="J142" s="4"/>
      <c r="L142" s="4"/>
      <c r="M142" s="4"/>
    </row>
    <row r="143" spans="1:13" ht="14.5" x14ac:dyDescent="0.35">
      <c r="A143" s="511" t="s">
        <v>868</v>
      </c>
      <c r="B143" s="505">
        <v>1.2177E-2</v>
      </c>
      <c r="C143" s="505">
        <v>10.917698009999997</v>
      </c>
      <c r="D143" s="230">
        <f>Table4124[[#This Row],[Column2]]-Table4124[[#This Row],[Column3]]</f>
        <v>-10.905521009999998</v>
      </c>
      <c r="I143" s="4"/>
      <c r="J143" s="4"/>
      <c r="L143" s="4"/>
      <c r="M143" s="4"/>
    </row>
    <row r="144" spans="1:13" ht="14.5" x14ac:dyDescent="0.35">
      <c r="A144" s="511" t="s">
        <v>869</v>
      </c>
      <c r="B144" s="505"/>
      <c r="C144" s="505">
        <v>11.252454769999998</v>
      </c>
      <c r="D144" s="230">
        <f>Table4124[[#This Row],[Column2]]-Table4124[[#This Row],[Column3]]</f>
        <v>-11.252454769999998</v>
      </c>
      <c r="I144" s="4"/>
      <c r="J144" s="4"/>
      <c r="L144" s="4"/>
      <c r="M144" s="4"/>
    </row>
    <row r="145" spans="1:13" ht="14.5" x14ac:dyDescent="0.35">
      <c r="A145" s="511" t="s">
        <v>870</v>
      </c>
      <c r="B145" s="505">
        <v>0.29850600999999999</v>
      </c>
      <c r="C145" s="505">
        <v>13.109832199999987</v>
      </c>
      <c r="D145" s="230">
        <f>Table4124[[#This Row],[Column2]]-Table4124[[#This Row],[Column3]]</f>
        <v>-12.811326189999987</v>
      </c>
      <c r="I145" s="4"/>
      <c r="J145" s="4"/>
      <c r="L145" s="4"/>
      <c r="M145" s="4"/>
    </row>
    <row r="146" spans="1:13" ht="14.5" x14ac:dyDescent="0.35">
      <c r="A146" s="511" t="s">
        <v>871</v>
      </c>
      <c r="B146" s="505">
        <v>1.1354234500000002</v>
      </c>
      <c r="C146" s="505">
        <v>14.700633849999999</v>
      </c>
      <c r="D146" s="230">
        <f>Table4124[[#This Row],[Column2]]-Table4124[[#This Row],[Column3]]</f>
        <v>-13.565210399999998</v>
      </c>
      <c r="I146" s="4"/>
      <c r="J146" s="4"/>
      <c r="L146" s="4"/>
      <c r="M146" s="4"/>
    </row>
    <row r="147" spans="1:13" ht="14.5" x14ac:dyDescent="0.35">
      <c r="A147" s="511" t="s">
        <v>872</v>
      </c>
      <c r="B147" s="505">
        <v>5.6808243799999998</v>
      </c>
      <c r="C147" s="505">
        <v>19.272148189999985</v>
      </c>
      <c r="D147" s="230">
        <f>Table4124[[#This Row],[Column2]]-Table4124[[#This Row],[Column3]]</f>
        <v>-13.591323809999984</v>
      </c>
      <c r="I147" s="4"/>
      <c r="J147" s="4"/>
      <c r="L147" s="4"/>
      <c r="M147" s="4"/>
    </row>
    <row r="148" spans="1:13" ht="14.5" x14ac:dyDescent="0.35">
      <c r="A148" s="511" t="s">
        <v>873</v>
      </c>
      <c r="B148" s="505">
        <v>4.3648499999999993E-2</v>
      </c>
      <c r="C148" s="505">
        <v>13.870468550000002</v>
      </c>
      <c r="D148" s="230">
        <f>Table4124[[#This Row],[Column2]]-Table4124[[#This Row],[Column3]]</f>
        <v>-13.826820050000002</v>
      </c>
      <c r="I148" s="4"/>
      <c r="J148" s="4"/>
      <c r="L148" s="4"/>
      <c r="M148" s="4"/>
    </row>
    <row r="149" spans="1:13" ht="14.5" x14ac:dyDescent="0.35">
      <c r="A149" s="511" t="s">
        <v>874</v>
      </c>
      <c r="B149" s="505">
        <v>0.47108553999999997</v>
      </c>
      <c r="C149" s="505">
        <v>14.524585019999998</v>
      </c>
      <c r="D149" s="230">
        <f>Table4124[[#This Row],[Column2]]-Table4124[[#This Row],[Column3]]</f>
        <v>-14.053499479999997</v>
      </c>
      <c r="I149" s="4"/>
      <c r="J149" s="4"/>
      <c r="L149" s="4"/>
      <c r="M149" s="4"/>
    </row>
    <row r="150" spans="1:13" ht="14.5" x14ac:dyDescent="0.35">
      <c r="A150" s="511" t="s">
        <v>875</v>
      </c>
      <c r="B150" s="505">
        <v>0.35832467999999995</v>
      </c>
      <c r="C150" s="505">
        <v>15.102620980000005</v>
      </c>
      <c r="D150" s="230">
        <f>Table4124[[#This Row],[Column2]]-Table4124[[#This Row],[Column3]]</f>
        <v>-14.744296300000006</v>
      </c>
      <c r="I150" s="4"/>
      <c r="J150" s="4"/>
      <c r="L150" s="4"/>
      <c r="M150" s="4"/>
    </row>
    <row r="151" spans="1:13" ht="14.5" x14ac:dyDescent="0.35">
      <c r="A151" s="511" t="s">
        <v>876</v>
      </c>
      <c r="B151" s="505">
        <v>3.2363000000000001E-3</v>
      </c>
      <c r="C151" s="505">
        <v>14.779675249999999</v>
      </c>
      <c r="D151" s="230">
        <f>Table4124[[#This Row],[Column2]]-Table4124[[#This Row],[Column3]]</f>
        <v>-14.776438949999999</v>
      </c>
      <c r="I151" s="4"/>
      <c r="J151" s="4"/>
      <c r="L151" s="4"/>
      <c r="M151" s="4"/>
    </row>
    <row r="152" spans="1:13" ht="14.5" x14ac:dyDescent="0.35">
      <c r="A152" s="511" t="s">
        <v>877</v>
      </c>
      <c r="B152" s="505">
        <v>0.42461130000000002</v>
      </c>
      <c r="C152" s="505">
        <v>15.752727220000001</v>
      </c>
      <c r="D152" s="230">
        <f>Table4124[[#This Row],[Column2]]-Table4124[[#This Row],[Column3]]</f>
        <v>-15.32811592</v>
      </c>
      <c r="I152" s="4"/>
      <c r="J152" s="4"/>
      <c r="L152" s="4"/>
      <c r="M152" s="4"/>
    </row>
    <row r="153" spans="1:13" ht="14.5" x14ac:dyDescent="0.35">
      <c r="A153" s="511" t="s">
        <v>878</v>
      </c>
      <c r="B153" s="505">
        <v>0.81017567999999995</v>
      </c>
      <c r="C153" s="505">
        <v>16.139470329999998</v>
      </c>
      <c r="D153" s="230">
        <f>Table4124[[#This Row],[Column2]]-Table4124[[#This Row],[Column3]]</f>
        <v>-15.329294649999998</v>
      </c>
      <c r="I153" s="4"/>
      <c r="J153" s="4"/>
      <c r="L153" s="4"/>
      <c r="M153" s="4"/>
    </row>
    <row r="154" spans="1:13" ht="14.5" x14ac:dyDescent="0.35">
      <c r="A154" s="511" t="s">
        <v>879</v>
      </c>
      <c r="B154" s="505">
        <v>5.9031479600000001</v>
      </c>
      <c r="C154" s="505">
        <v>21.241351280000003</v>
      </c>
      <c r="D154" s="230">
        <f>Table4124[[#This Row],[Column2]]-Table4124[[#This Row],[Column3]]</f>
        <v>-15.338203320000003</v>
      </c>
      <c r="I154" s="4"/>
      <c r="J154" s="4"/>
      <c r="L154" s="4"/>
      <c r="M154" s="4"/>
    </row>
    <row r="155" spans="1:13" ht="14.5" x14ac:dyDescent="0.35">
      <c r="A155" s="511" t="s">
        <v>880</v>
      </c>
      <c r="B155" s="505">
        <v>4.3040478199999992</v>
      </c>
      <c r="C155" s="505">
        <v>19.659166300000003</v>
      </c>
      <c r="D155" s="230">
        <f>Table4124[[#This Row],[Column2]]-Table4124[[#This Row],[Column3]]</f>
        <v>-15.355118480000003</v>
      </c>
      <c r="I155" s="4"/>
      <c r="J155" s="4"/>
      <c r="L155" s="4"/>
      <c r="M155" s="4"/>
    </row>
    <row r="156" spans="1:13" ht="14.5" x14ac:dyDescent="0.35">
      <c r="A156" s="511" t="s">
        <v>881</v>
      </c>
      <c r="B156" s="505">
        <v>0.46518894</v>
      </c>
      <c r="C156" s="505">
        <v>17.063864529999986</v>
      </c>
      <c r="D156" s="230">
        <f>Table4124[[#This Row],[Column2]]-Table4124[[#This Row],[Column3]]</f>
        <v>-16.598675589999985</v>
      </c>
      <c r="I156" s="4"/>
      <c r="J156" s="4"/>
      <c r="L156" s="4"/>
      <c r="M156" s="4"/>
    </row>
    <row r="157" spans="1:13" ht="14.5" x14ac:dyDescent="0.35">
      <c r="A157" s="511" t="s">
        <v>882</v>
      </c>
      <c r="B157" s="505">
        <v>3.5850640000000003E-2</v>
      </c>
      <c r="C157" s="505">
        <v>17.328941110000002</v>
      </c>
      <c r="D157" s="230">
        <f>Table4124[[#This Row],[Column2]]-Table4124[[#This Row],[Column3]]</f>
        <v>-17.293090470000003</v>
      </c>
      <c r="I157" s="4"/>
      <c r="J157" s="4"/>
      <c r="L157" s="4"/>
      <c r="M157" s="4"/>
    </row>
    <row r="158" spans="1:13" ht="14.5" x14ac:dyDescent="0.35">
      <c r="A158" s="511" t="s">
        <v>883</v>
      </c>
      <c r="B158" s="505">
        <v>7.3379959999999994E-2</v>
      </c>
      <c r="C158" s="505">
        <v>17.393456240000006</v>
      </c>
      <c r="D158" s="230">
        <f>Table4124[[#This Row],[Column2]]-Table4124[[#This Row],[Column3]]</f>
        <v>-17.320076280000006</v>
      </c>
      <c r="I158" s="4"/>
      <c r="J158" s="4"/>
      <c r="L158" s="4"/>
      <c r="M158" s="4"/>
    </row>
    <row r="159" spans="1:13" ht="14.5" x14ac:dyDescent="0.35">
      <c r="A159" s="511" t="s">
        <v>884</v>
      </c>
      <c r="B159" s="505"/>
      <c r="C159" s="505">
        <v>18.452979879999997</v>
      </c>
      <c r="D159" s="230">
        <f>Table4124[[#This Row],[Column2]]-Table4124[[#This Row],[Column3]]</f>
        <v>-18.452979879999997</v>
      </c>
      <c r="I159" s="4"/>
      <c r="J159" s="4"/>
      <c r="L159" s="4"/>
      <c r="M159" s="4"/>
    </row>
    <row r="160" spans="1:13" ht="14.5" x14ac:dyDescent="0.35">
      <c r="A160" s="511" t="s">
        <v>885</v>
      </c>
      <c r="B160" s="505">
        <v>0.25620137999999998</v>
      </c>
      <c r="C160" s="505">
        <v>19.054086610000009</v>
      </c>
      <c r="D160" s="230">
        <f>Table4124[[#This Row],[Column2]]-Table4124[[#This Row],[Column3]]</f>
        <v>-18.797885230000009</v>
      </c>
      <c r="I160" s="4"/>
      <c r="J160" s="4"/>
      <c r="L160" s="4"/>
      <c r="M160" s="4"/>
    </row>
    <row r="161" spans="1:13" ht="14.5" x14ac:dyDescent="0.35">
      <c r="A161" s="511" t="s">
        <v>886</v>
      </c>
      <c r="B161" s="505"/>
      <c r="C161" s="505">
        <v>18.931149010000002</v>
      </c>
      <c r="D161" s="230">
        <f>Table4124[[#This Row],[Column2]]-Table4124[[#This Row],[Column3]]</f>
        <v>-18.931149010000002</v>
      </c>
      <c r="I161" s="4"/>
      <c r="J161" s="4"/>
      <c r="L161" s="4"/>
      <c r="M161" s="4"/>
    </row>
    <row r="162" spans="1:13" ht="14.5" x14ac:dyDescent="0.35">
      <c r="A162" s="511" t="s">
        <v>887</v>
      </c>
      <c r="B162" s="505">
        <v>1.34194718</v>
      </c>
      <c r="C162" s="505">
        <v>20.450104619999998</v>
      </c>
      <c r="D162" s="230">
        <f>Table4124[[#This Row],[Column2]]-Table4124[[#This Row],[Column3]]</f>
        <v>-19.108157439999999</v>
      </c>
      <c r="I162" s="4"/>
      <c r="J162" s="4"/>
      <c r="L162" s="4"/>
      <c r="M162" s="4"/>
    </row>
    <row r="163" spans="1:13" ht="14.5" x14ac:dyDescent="0.35">
      <c r="A163" s="511" t="s">
        <v>888</v>
      </c>
      <c r="B163" s="505">
        <v>2.9329000000000001E-2</v>
      </c>
      <c r="C163" s="505">
        <v>20.691837129999996</v>
      </c>
      <c r="D163" s="230">
        <f>Table4124[[#This Row],[Column2]]-Table4124[[#This Row],[Column3]]</f>
        <v>-20.662508129999996</v>
      </c>
      <c r="I163" s="4"/>
      <c r="J163" s="4"/>
      <c r="L163" s="4"/>
      <c r="M163" s="4"/>
    </row>
    <row r="164" spans="1:13" ht="14.5" x14ac:dyDescent="0.35">
      <c r="A164" s="511" t="s">
        <v>889</v>
      </c>
      <c r="B164" s="505">
        <v>9.82704807</v>
      </c>
      <c r="C164" s="505">
        <v>30.500085340000027</v>
      </c>
      <c r="D164" s="230">
        <f>Table4124[[#This Row],[Column2]]-Table4124[[#This Row],[Column3]]</f>
        <v>-20.673037270000027</v>
      </c>
      <c r="I164" s="4"/>
      <c r="J164" s="4"/>
      <c r="L164" s="4"/>
      <c r="M164" s="4"/>
    </row>
    <row r="165" spans="1:13" ht="14.5" x14ac:dyDescent="0.35">
      <c r="A165" s="511" t="s">
        <v>890</v>
      </c>
      <c r="B165" s="505">
        <v>3.9882580000000001E-2</v>
      </c>
      <c r="C165" s="505">
        <v>20.947780539999997</v>
      </c>
      <c r="D165" s="230">
        <f>Table4124[[#This Row],[Column2]]-Table4124[[#This Row],[Column3]]</f>
        <v>-20.907897959999996</v>
      </c>
      <c r="I165" s="4"/>
      <c r="J165" s="4"/>
      <c r="L165" s="4"/>
      <c r="M165" s="4"/>
    </row>
    <row r="166" spans="1:13" ht="14.5" x14ac:dyDescent="0.35">
      <c r="A166" s="511" t="s">
        <v>891</v>
      </c>
      <c r="B166" s="505">
        <v>8.3000000000000001E-4</v>
      </c>
      <c r="C166" s="505">
        <v>20.981150230000004</v>
      </c>
      <c r="D166" s="230">
        <f>Table4124[[#This Row],[Column2]]-Table4124[[#This Row],[Column3]]</f>
        <v>-20.980320230000004</v>
      </c>
      <c r="I166" s="4"/>
      <c r="J166" s="4"/>
      <c r="L166" s="4"/>
      <c r="M166" s="4"/>
    </row>
    <row r="167" spans="1:13" ht="14.5" x14ac:dyDescent="0.35">
      <c r="A167" s="511" t="s">
        <v>892</v>
      </c>
      <c r="B167" s="505">
        <v>0.23761798000000001</v>
      </c>
      <c r="C167" s="505">
        <v>21.656977540000007</v>
      </c>
      <c r="D167" s="230">
        <f>Table4124[[#This Row],[Column2]]-Table4124[[#This Row],[Column3]]</f>
        <v>-21.419359560000007</v>
      </c>
      <c r="I167" s="4"/>
      <c r="J167" s="4"/>
      <c r="L167" s="4"/>
      <c r="M167" s="4"/>
    </row>
    <row r="168" spans="1:13" ht="14.5" x14ac:dyDescent="0.35">
      <c r="A168" s="511" t="s">
        <v>893</v>
      </c>
      <c r="B168" s="505">
        <v>3.1976097100000005</v>
      </c>
      <c r="C168" s="505">
        <v>25.060606780000004</v>
      </c>
      <c r="D168" s="230">
        <f>Table4124[[#This Row],[Column2]]-Table4124[[#This Row],[Column3]]</f>
        <v>-21.862997070000002</v>
      </c>
      <c r="I168" s="4"/>
      <c r="J168" s="4"/>
      <c r="L168" s="4"/>
      <c r="M168" s="4"/>
    </row>
    <row r="169" spans="1:13" ht="14.5" x14ac:dyDescent="0.35">
      <c r="A169" s="511" t="s">
        <v>894</v>
      </c>
      <c r="B169" s="505">
        <v>4.8501500000000001E-3</v>
      </c>
      <c r="C169" s="505">
        <v>22.127448709999996</v>
      </c>
      <c r="D169" s="230">
        <f>Table4124[[#This Row],[Column2]]-Table4124[[#This Row],[Column3]]</f>
        <v>-22.122598559999997</v>
      </c>
      <c r="I169" s="4"/>
      <c r="J169" s="4"/>
      <c r="L169" s="4"/>
      <c r="M169" s="4"/>
    </row>
    <row r="170" spans="1:13" ht="14.5" x14ac:dyDescent="0.35">
      <c r="A170" s="511" t="s">
        <v>895</v>
      </c>
      <c r="B170" s="505">
        <v>4.6850099999999999E-3</v>
      </c>
      <c r="C170" s="505">
        <v>22.720881780000003</v>
      </c>
      <c r="D170" s="230">
        <f>Table4124[[#This Row],[Column2]]-Table4124[[#This Row],[Column3]]</f>
        <v>-22.716196770000003</v>
      </c>
      <c r="I170" s="4"/>
      <c r="J170" s="4"/>
      <c r="L170" s="4"/>
      <c r="M170" s="4"/>
    </row>
    <row r="171" spans="1:13" ht="14.5" x14ac:dyDescent="0.35">
      <c r="A171" s="511" t="s">
        <v>896</v>
      </c>
      <c r="B171" s="505">
        <v>0.26197208999999994</v>
      </c>
      <c r="C171" s="505">
        <v>23.588727339999991</v>
      </c>
      <c r="D171" s="230">
        <f>Table4124[[#This Row],[Column2]]-Table4124[[#This Row],[Column3]]</f>
        <v>-23.326755249999991</v>
      </c>
      <c r="I171" s="4"/>
      <c r="J171" s="4"/>
      <c r="L171" s="4"/>
      <c r="M171" s="4"/>
    </row>
    <row r="172" spans="1:13" ht="14.5" x14ac:dyDescent="0.35">
      <c r="A172" s="511" t="s">
        <v>897</v>
      </c>
      <c r="B172" s="505">
        <v>4.2533729999999999E-2</v>
      </c>
      <c r="C172" s="505">
        <v>24.616966180000006</v>
      </c>
      <c r="D172" s="230">
        <f>Table4124[[#This Row],[Column2]]-Table4124[[#This Row],[Column3]]</f>
        <v>-24.574432450000007</v>
      </c>
      <c r="I172" s="4"/>
      <c r="J172" s="4"/>
      <c r="L172" s="4"/>
      <c r="M172" s="4"/>
    </row>
    <row r="173" spans="1:13" ht="14.5" x14ac:dyDescent="0.35">
      <c r="A173" s="511" t="s">
        <v>898</v>
      </c>
      <c r="B173" s="505">
        <v>2.4565530000000002E-2</v>
      </c>
      <c r="C173" s="505">
        <v>24.619997599999994</v>
      </c>
      <c r="D173" s="230">
        <f>Table4124[[#This Row],[Column2]]-Table4124[[#This Row],[Column3]]</f>
        <v>-24.595432069999994</v>
      </c>
      <c r="I173" s="4"/>
      <c r="J173" s="4"/>
      <c r="L173" s="4"/>
      <c r="M173" s="4"/>
    </row>
    <row r="174" spans="1:13" ht="14.5" x14ac:dyDescent="0.35">
      <c r="A174" s="511" t="s">
        <v>899</v>
      </c>
      <c r="B174" s="505">
        <v>0.94310353000000002</v>
      </c>
      <c r="C174" s="505">
        <v>26.007425999999999</v>
      </c>
      <c r="D174" s="230">
        <f>Table4124[[#This Row],[Column2]]-Table4124[[#This Row],[Column3]]</f>
        <v>-25.06432247</v>
      </c>
      <c r="I174" s="4"/>
      <c r="J174" s="4"/>
      <c r="L174" s="4"/>
      <c r="M174" s="4"/>
    </row>
    <row r="175" spans="1:13" ht="14.5" x14ac:dyDescent="0.35">
      <c r="A175" s="511" t="s">
        <v>900</v>
      </c>
      <c r="B175" s="505">
        <v>0.13175500000000001</v>
      </c>
      <c r="C175" s="505">
        <v>26.266857640000001</v>
      </c>
      <c r="D175" s="230">
        <f>Table4124[[#This Row],[Column2]]-Table4124[[#This Row],[Column3]]</f>
        <v>-26.135102640000003</v>
      </c>
      <c r="I175" s="4"/>
      <c r="J175" s="4"/>
      <c r="L175" s="4"/>
      <c r="M175" s="4"/>
    </row>
    <row r="176" spans="1:13" ht="14.5" x14ac:dyDescent="0.35">
      <c r="A176" s="511" t="s">
        <v>901</v>
      </c>
      <c r="B176" s="505">
        <v>0.30647993000000001</v>
      </c>
      <c r="C176" s="505">
        <v>27.309585659999996</v>
      </c>
      <c r="D176" s="230">
        <f>Table4124[[#This Row],[Column2]]-Table4124[[#This Row],[Column3]]</f>
        <v>-27.003105729999998</v>
      </c>
      <c r="I176" s="4"/>
      <c r="J176" s="4"/>
      <c r="L176" s="4"/>
      <c r="M176" s="4"/>
    </row>
    <row r="177" spans="1:13" ht="14.5" x14ac:dyDescent="0.35">
      <c r="A177" s="511" t="s">
        <v>902</v>
      </c>
      <c r="B177" s="505">
        <v>0.9482922399999999</v>
      </c>
      <c r="C177" s="505">
        <v>28.128725459999991</v>
      </c>
      <c r="D177" s="230">
        <f>Table4124[[#This Row],[Column2]]-Table4124[[#This Row],[Column3]]</f>
        <v>-27.180433219999991</v>
      </c>
      <c r="I177" s="4"/>
      <c r="J177" s="4"/>
      <c r="L177" s="4"/>
      <c r="M177" s="4"/>
    </row>
    <row r="178" spans="1:13" ht="14.5" x14ac:dyDescent="0.35">
      <c r="A178" s="511" t="s">
        <v>903</v>
      </c>
      <c r="B178" s="505">
        <v>0.12097279999999998</v>
      </c>
      <c r="C178" s="505">
        <v>27.760659999999991</v>
      </c>
      <c r="D178" s="230">
        <f>Table4124[[#This Row],[Column2]]-Table4124[[#This Row],[Column3]]</f>
        <v>-27.63968719999999</v>
      </c>
      <c r="I178" s="4"/>
      <c r="J178" s="4"/>
      <c r="L178" s="4"/>
      <c r="M178" s="4"/>
    </row>
    <row r="179" spans="1:13" ht="14.5" x14ac:dyDescent="0.35">
      <c r="A179" s="511" t="s">
        <v>904</v>
      </c>
      <c r="B179" s="505">
        <v>0.66329769999999999</v>
      </c>
      <c r="C179" s="505">
        <v>28.875883000000012</v>
      </c>
      <c r="D179" s="230">
        <f>Table4124[[#This Row],[Column2]]-Table4124[[#This Row],[Column3]]</f>
        <v>-28.212585300000011</v>
      </c>
      <c r="I179" s="4"/>
      <c r="J179" s="4"/>
      <c r="L179" s="4"/>
      <c r="M179" s="4"/>
    </row>
    <row r="180" spans="1:13" ht="14.5" x14ac:dyDescent="0.35">
      <c r="A180" s="511" t="s">
        <v>905</v>
      </c>
      <c r="B180" s="505">
        <v>1.46885792</v>
      </c>
      <c r="C180" s="505">
        <v>30.595990579999999</v>
      </c>
      <c r="D180" s="230">
        <f>Table4124[[#This Row],[Column2]]-Table4124[[#This Row],[Column3]]</f>
        <v>-29.127132659999997</v>
      </c>
      <c r="I180" s="4"/>
      <c r="J180" s="4"/>
      <c r="L180" s="4"/>
      <c r="M180" s="4"/>
    </row>
    <row r="181" spans="1:13" ht="14.5" x14ac:dyDescent="0.35">
      <c r="A181" s="511" t="s">
        <v>906</v>
      </c>
      <c r="B181" s="505">
        <v>0.32728885999999996</v>
      </c>
      <c r="C181" s="505">
        <v>29.921680090000009</v>
      </c>
      <c r="D181" s="230">
        <f>Table4124[[#This Row],[Column2]]-Table4124[[#This Row],[Column3]]</f>
        <v>-29.59439123000001</v>
      </c>
      <c r="I181" s="4"/>
      <c r="J181" s="4"/>
      <c r="L181" s="4"/>
      <c r="M181" s="4"/>
    </row>
    <row r="182" spans="1:13" ht="14.5" x14ac:dyDescent="0.35">
      <c r="A182" s="511" t="s">
        <v>907</v>
      </c>
      <c r="B182" s="505">
        <v>0.77246636000000013</v>
      </c>
      <c r="C182" s="505">
        <v>31.934483839999995</v>
      </c>
      <c r="D182" s="230">
        <f>Table4124[[#This Row],[Column2]]-Table4124[[#This Row],[Column3]]</f>
        <v>-31.162017479999996</v>
      </c>
      <c r="I182" s="4"/>
      <c r="J182" s="4"/>
      <c r="L182" s="4"/>
      <c r="M182" s="4"/>
    </row>
    <row r="183" spans="1:13" ht="14.5" x14ac:dyDescent="0.35">
      <c r="A183" s="511" t="s">
        <v>908</v>
      </c>
      <c r="B183" s="505">
        <v>0.35271622000000002</v>
      </c>
      <c r="C183" s="505">
        <v>31.557034810000008</v>
      </c>
      <c r="D183" s="230">
        <f>Table4124[[#This Row],[Column2]]-Table4124[[#This Row],[Column3]]</f>
        <v>-31.204318590000007</v>
      </c>
      <c r="I183" s="4"/>
      <c r="J183" s="4"/>
      <c r="L183" s="4"/>
      <c r="M183" s="4"/>
    </row>
    <row r="184" spans="1:13" ht="14.5" x14ac:dyDescent="0.35">
      <c r="A184" s="511" t="s">
        <v>909</v>
      </c>
      <c r="B184" s="505">
        <v>1.6362203700000002</v>
      </c>
      <c r="C184" s="505">
        <v>34.302709690000007</v>
      </c>
      <c r="D184" s="230">
        <f>Table4124[[#This Row],[Column2]]-Table4124[[#This Row],[Column3]]</f>
        <v>-32.666489320000011</v>
      </c>
      <c r="I184" s="4"/>
      <c r="J184" s="4"/>
      <c r="L184" s="4"/>
      <c r="M184" s="4"/>
    </row>
    <row r="185" spans="1:13" ht="14.5" x14ac:dyDescent="0.35">
      <c r="A185" s="511" t="s">
        <v>910</v>
      </c>
      <c r="B185" s="505">
        <v>0.48440368000000011</v>
      </c>
      <c r="C185" s="505">
        <v>33.353640680000005</v>
      </c>
      <c r="D185" s="230">
        <f>Table4124[[#This Row],[Column2]]-Table4124[[#This Row],[Column3]]</f>
        <v>-32.869237000000005</v>
      </c>
      <c r="I185" s="4"/>
      <c r="J185" s="4"/>
      <c r="L185" s="4"/>
      <c r="M185" s="4"/>
    </row>
    <row r="186" spans="1:13" ht="14.5" x14ac:dyDescent="0.35">
      <c r="A186" s="511" t="s">
        <v>911</v>
      </c>
      <c r="B186" s="505">
        <v>6.9577109999999998</v>
      </c>
      <c r="C186" s="505">
        <v>39.890049800000035</v>
      </c>
      <c r="D186" s="230">
        <f>Table4124[[#This Row],[Column2]]-Table4124[[#This Row],[Column3]]</f>
        <v>-32.932338800000039</v>
      </c>
      <c r="I186" s="4"/>
      <c r="J186" s="4"/>
      <c r="L186" s="4"/>
      <c r="M186" s="4"/>
    </row>
    <row r="187" spans="1:13" ht="14.5" x14ac:dyDescent="0.35">
      <c r="A187" s="511" t="s">
        <v>912</v>
      </c>
      <c r="B187" s="505">
        <v>1.5187603300000001</v>
      </c>
      <c r="C187" s="505">
        <v>34.503689440000009</v>
      </c>
      <c r="D187" s="230">
        <f>Table4124[[#This Row],[Column2]]-Table4124[[#This Row],[Column3]]</f>
        <v>-32.98492911000001</v>
      </c>
      <c r="I187" s="4"/>
      <c r="J187" s="4"/>
      <c r="L187" s="4"/>
      <c r="M187" s="4"/>
    </row>
    <row r="188" spans="1:13" ht="14.5" x14ac:dyDescent="0.35">
      <c r="A188" s="511" t="s">
        <v>913</v>
      </c>
      <c r="B188" s="505"/>
      <c r="C188" s="505">
        <v>34.343775900000004</v>
      </c>
      <c r="D188" s="230">
        <f>Table4124[[#This Row],[Column2]]-Table4124[[#This Row],[Column3]]</f>
        <v>-34.343775900000004</v>
      </c>
      <c r="I188" s="4"/>
      <c r="J188" s="4"/>
      <c r="L188" s="4"/>
      <c r="M188" s="4"/>
    </row>
    <row r="189" spans="1:13" ht="14.5" x14ac:dyDescent="0.35">
      <c r="A189" s="511" t="s">
        <v>914</v>
      </c>
      <c r="B189" s="505">
        <v>6.4621020000000001E-2</v>
      </c>
      <c r="C189" s="505">
        <v>34.988451039999994</v>
      </c>
      <c r="D189" s="230">
        <f>Table4124[[#This Row],[Column2]]-Table4124[[#This Row],[Column3]]</f>
        <v>-34.923830019999997</v>
      </c>
      <c r="I189" s="4"/>
      <c r="J189" s="4"/>
      <c r="L189" s="4"/>
      <c r="M189" s="4"/>
    </row>
    <row r="190" spans="1:13" ht="14.5" x14ac:dyDescent="0.35">
      <c r="A190" s="511" t="s">
        <v>915</v>
      </c>
      <c r="B190" s="505">
        <v>2.5236991</v>
      </c>
      <c r="C190" s="505">
        <v>38.340046680000029</v>
      </c>
      <c r="D190" s="230">
        <f>Table4124[[#This Row],[Column2]]-Table4124[[#This Row],[Column3]]</f>
        <v>-35.816347580000027</v>
      </c>
      <c r="I190" s="4"/>
      <c r="J190" s="4"/>
      <c r="L190" s="4"/>
      <c r="M190" s="4"/>
    </row>
    <row r="191" spans="1:13" ht="14.5" x14ac:dyDescent="0.35">
      <c r="A191" s="511" t="s">
        <v>916</v>
      </c>
      <c r="B191" s="505">
        <v>8.5371900000000001E-2</v>
      </c>
      <c r="C191" s="505">
        <v>36.651321320000015</v>
      </c>
      <c r="D191" s="230">
        <f>Table4124[[#This Row],[Column2]]-Table4124[[#This Row],[Column3]]</f>
        <v>-36.565949420000017</v>
      </c>
      <c r="I191" s="4"/>
      <c r="J191" s="4"/>
      <c r="L191" s="4"/>
      <c r="M191" s="4"/>
    </row>
    <row r="192" spans="1:13" ht="14.5" x14ac:dyDescent="0.35">
      <c r="A192" s="511" t="s">
        <v>917</v>
      </c>
      <c r="B192" s="505">
        <v>42.393142160000004</v>
      </c>
      <c r="C192" s="505">
        <v>79.087942280000007</v>
      </c>
      <c r="D192" s="230">
        <f>Table4124[[#This Row],[Column2]]-Table4124[[#This Row],[Column3]]</f>
        <v>-36.694800120000004</v>
      </c>
      <c r="I192" s="4"/>
      <c r="J192" s="4"/>
      <c r="L192" s="4"/>
      <c r="M192" s="4"/>
    </row>
    <row r="193" spans="1:13" ht="14.5" x14ac:dyDescent="0.35">
      <c r="A193" s="511" t="s">
        <v>918</v>
      </c>
      <c r="B193" s="505">
        <v>1.4766194500000001</v>
      </c>
      <c r="C193" s="505">
        <v>38.220538389999994</v>
      </c>
      <c r="D193" s="230">
        <f>Table4124[[#This Row],[Column2]]-Table4124[[#This Row],[Column3]]</f>
        <v>-36.743918939999993</v>
      </c>
      <c r="I193" s="4"/>
      <c r="J193" s="4"/>
      <c r="L193" s="4"/>
      <c r="M193" s="4"/>
    </row>
    <row r="194" spans="1:13" ht="14.5" x14ac:dyDescent="0.35">
      <c r="A194" s="511" t="s">
        <v>919</v>
      </c>
      <c r="B194" s="505"/>
      <c r="C194" s="505">
        <v>37.067353699999998</v>
      </c>
      <c r="D194" s="230">
        <f>Table4124[[#This Row],[Column2]]-Table4124[[#This Row],[Column3]]</f>
        <v>-37.067353699999998</v>
      </c>
      <c r="I194" s="4"/>
      <c r="J194" s="4"/>
      <c r="L194" s="4"/>
      <c r="M194" s="4"/>
    </row>
    <row r="195" spans="1:13" ht="14.5" x14ac:dyDescent="0.35">
      <c r="A195" s="511" t="s">
        <v>920</v>
      </c>
      <c r="B195" s="505">
        <v>0.19456785999999998</v>
      </c>
      <c r="C195" s="505">
        <v>37.692918559999974</v>
      </c>
      <c r="D195" s="230">
        <f>Table4124[[#This Row],[Column2]]-Table4124[[#This Row],[Column3]]</f>
        <v>-37.498350699999975</v>
      </c>
      <c r="I195" s="4"/>
      <c r="J195" s="4"/>
      <c r="L195" s="4"/>
      <c r="M195" s="4"/>
    </row>
    <row r="196" spans="1:13" ht="14.5" x14ac:dyDescent="0.35">
      <c r="A196" s="511" t="s">
        <v>921</v>
      </c>
      <c r="B196" s="505">
        <v>0.23186410000000002</v>
      </c>
      <c r="C196" s="505">
        <v>38.445215080000011</v>
      </c>
      <c r="D196" s="230">
        <f>Table4124[[#This Row],[Column2]]-Table4124[[#This Row],[Column3]]</f>
        <v>-38.213350980000008</v>
      </c>
      <c r="I196" s="4"/>
      <c r="J196" s="4"/>
      <c r="L196" s="4"/>
      <c r="M196" s="4"/>
    </row>
    <row r="197" spans="1:13" ht="14.5" x14ac:dyDescent="0.35">
      <c r="A197" s="511" t="s">
        <v>922</v>
      </c>
      <c r="B197" s="505">
        <v>0.15747643999999997</v>
      </c>
      <c r="C197" s="505">
        <v>39.296061899999998</v>
      </c>
      <c r="D197" s="230">
        <f>Table4124[[#This Row],[Column2]]-Table4124[[#This Row],[Column3]]</f>
        <v>-39.138585459999994</v>
      </c>
      <c r="I197" s="4"/>
      <c r="J197" s="4"/>
      <c r="L197" s="4"/>
      <c r="M197" s="4"/>
    </row>
    <row r="198" spans="1:13" ht="14.5" x14ac:dyDescent="0.35">
      <c r="A198" s="511" t="s">
        <v>923</v>
      </c>
      <c r="B198" s="505">
        <v>4.6574760000000007E-2</v>
      </c>
      <c r="C198" s="505">
        <v>39.381620790000007</v>
      </c>
      <c r="D198" s="230">
        <f>Table4124[[#This Row],[Column2]]-Table4124[[#This Row],[Column3]]</f>
        <v>-39.335046030000008</v>
      </c>
      <c r="I198" s="4"/>
      <c r="J198" s="4"/>
      <c r="L198" s="4"/>
      <c r="M198" s="4"/>
    </row>
    <row r="199" spans="1:13" ht="14.5" x14ac:dyDescent="0.35">
      <c r="A199" s="511" t="s">
        <v>924</v>
      </c>
      <c r="B199" s="505">
        <v>7.7419999999999998E-3</v>
      </c>
      <c r="C199" s="505">
        <v>39.448523520000009</v>
      </c>
      <c r="D199" s="230">
        <f>Table4124[[#This Row],[Column2]]-Table4124[[#This Row],[Column3]]</f>
        <v>-39.440781520000009</v>
      </c>
      <c r="I199" s="4"/>
      <c r="J199" s="4"/>
      <c r="L199" s="4"/>
      <c r="M199" s="4"/>
    </row>
    <row r="200" spans="1:13" ht="14.5" x14ac:dyDescent="0.35">
      <c r="A200" s="511" t="s">
        <v>925</v>
      </c>
      <c r="B200" s="505">
        <v>115.77965177000002</v>
      </c>
      <c r="C200" s="505">
        <v>155.61117752000007</v>
      </c>
      <c r="D200" s="230">
        <f>Table4124[[#This Row],[Column2]]-Table4124[[#This Row],[Column3]]</f>
        <v>-39.831525750000054</v>
      </c>
      <c r="I200" s="4"/>
      <c r="J200" s="4"/>
      <c r="L200" s="4"/>
      <c r="M200" s="4"/>
    </row>
    <row r="201" spans="1:13" ht="14.5" x14ac:dyDescent="0.35">
      <c r="A201" s="511" t="s">
        <v>926</v>
      </c>
      <c r="B201" s="505">
        <v>1.6177380000000002E-2</v>
      </c>
      <c r="C201" s="505">
        <v>39.868277769999978</v>
      </c>
      <c r="D201" s="230">
        <f>Table4124[[#This Row],[Column2]]-Table4124[[#This Row],[Column3]]</f>
        <v>-39.852100389999976</v>
      </c>
      <c r="I201" s="4"/>
      <c r="J201" s="4"/>
      <c r="L201" s="4"/>
      <c r="M201" s="4"/>
    </row>
    <row r="202" spans="1:13" ht="14.5" x14ac:dyDescent="0.35">
      <c r="A202" s="511" t="s">
        <v>927</v>
      </c>
      <c r="B202" s="505">
        <v>4.3610891000000001</v>
      </c>
      <c r="C202" s="505">
        <v>44.797440270000003</v>
      </c>
      <c r="D202" s="230">
        <f>Table4124[[#This Row],[Column2]]-Table4124[[#This Row],[Column3]]</f>
        <v>-40.436351170000002</v>
      </c>
      <c r="I202" s="4"/>
      <c r="J202" s="4"/>
      <c r="L202" s="4"/>
      <c r="M202" s="4"/>
    </row>
    <row r="203" spans="1:13" ht="14.5" x14ac:dyDescent="0.35">
      <c r="A203" s="511" t="s">
        <v>928</v>
      </c>
      <c r="B203" s="505">
        <v>2.46853605</v>
      </c>
      <c r="C203" s="505">
        <v>45.534189189999985</v>
      </c>
      <c r="D203" s="230">
        <f>Table4124[[#This Row],[Column2]]-Table4124[[#This Row],[Column3]]</f>
        <v>-43.065653139999988</v>
      </c>
      <c r="I203" s="4"/>
      <c r="J203" s="4"/>
      <c r="L203" s="4"/>
      <c r="M203" s="4"/>
    </row>
    <row r="204" spans="1:13" ht="14.5" x14ac:dyDescent="0.35">
      <c r="A204" s="511" t="s">
        <v>929</v>
      </c>
      <c r="B204" s="505">
        <v>0.39674844000000004</v>
      </c>
      <c r="C204" s="505">
        <v>44.103557569999992</v>
      </c>
      <c r="D204" s="230">
        <f>Table4124[[#This Row],[Column2]]-Table4124[[#This Row],[Column3]]</f>
        <v>-43.706809129999989</v>
      </c>
      <c r="I204" s="4"/>
      <c r="J204" s="4"/>
      <c r="L204" s="4"/>
      <c r="M204" s="4"/>
    </row>
    <row r="205" spans="1:13" ht="14.5" x14ac:dyDescent="0.35">
      <c r="A205" s="511" t="s">
        <v>930</v>
      </c>
      <c r="B205" s="505"/>
      <c r="C205" s="505">
        <v>43.928320769999999</v>
      </c>
      <c r="D205" s="230">
        <f>Table4124[[#This Row],[Column2]]-Table4124[[#This Row],[Column3]]</f>
        <v>-43.928320769999999</v>
      </c>
      <c r="I205" s="4"/>
      <c r="J205" s="4"/>
      <c r="L205" s="4"/>
      <c r="M205" s="4"/>
    </row>
    <row r="206" spans="1:13" ht="14.5" x14ac:dyDescent="0.35">
      <c r="A206" s="511" t="s">
        <v>931</v>
      </c>
      <c r="B206" s="505">
        <v>3.4365130400000008</v>
      </c>
      <c r="C206" s="505">
        <v>48.112371610000025</v>
      </c>
      <c r="D206" s="230">
        <f>Table4124[[#This Row],[Column2]]-Table4124[[#This Row],[Column3]]</f>
        <v>-44.675858570000024</v>
      </c>
      <c r="I206" s="4"/>
      <c r="J206" s="4"/>
      <c r="L206" s="4"/>
      <c r="M206" s="4"/>
    </row>
    <row r="207" spans="1:13" ht="14.5" x14ac:dyDescent="0.35">
      <c r="A207" s="511" t="s">
        <v>932</v>
      </c>
      <c r="B207" s="505">
        <v>0.64360059999999997</v>
      </c>
      <c r="C207" s="505">
        <v>45.388352410000003</v>
      </c>
      <c r="D207" s="230">
        <f>Table4124[[#This Row],[Column2]]-Table4124[[#This Row],[Column3]]</f>
        <v>-44.744751810000004</v>
      </c>
      <c r="I207" s="4"/>
      <c r="J207" s="4"/>
      <c r="L207" s="4"/>
      <c r="M207" s="4"/>
    </row>
    <row r="208" spans="1:13" ht="14.5" x14ac:dyDescent="0.35">
      <c r="A208" s="511" t="s">
        <v>933</v>
      </c>
      <c r="B208" s="505">
        <v>0.10891457000000003</v>
      </c>
      <c r="C208" s="505">
        <v>46.147721420000025</v>
      </c>
      <c r="D208" s="230">
        <f>Table4124[[#This Row],[Column2]]-Table4124[[#This Row],[Column3]]</f>
        <v>-46.038806850000022</v>
      </c>
      <c r="I208" s="4"/>
      <c r="J208" s="4"/>
      <c r="L208" s="4"/>
      <c r="M208" s="4"/>
    </row>
    <row r="209" spans="1:13" ht="14.5" x14ac:dyDescent="0.35">
      <c r="A209" s="511" t="s">
        <v>934</v>
      </c>
      <c r="B209" s="505">
        <v>3.7691572300000002</v>
      </c>
      <c r="C209" s="505">
        <v>50.444585290000013</v>
      </c>
      <c r="D209" s="230">
        <f>Table4124[[#This Row],[Column2]]-Table4124[[#This Row],[Column3]]</f>
        <v>-46.675428060000016</v>
      </c>
      <c r="I209" s="4"/>
      <c r="J209" s="4"/>
      <c r="L209" s="4"/>
      <c r="M209" s="4"/>
    </row>
    <row r="210" spans="1:13" ht="14.5" x14ac:dyDescent="0.35">
      <c r="A210" s="511" t="s">
        <v>935</v>
      </c>
      <c r="B210" s="505">
        <v>4.4836161699999986</v>
      </c>
      <c r="C210" s="505">
        <v>52.494229620000027</v>
      </c>
      <c r="D210" s="230">
        <f>Table4124[[#This Row],[Column2]]-Table4124[[#This Row],[Column3]]</f>
        <v>-48.010613450000029</v>
      </c>
      <c r="I210" s="4"/>
      <c r="J210" s="4"/>
      <c r="L210" s="4"/>
      <c r="M210" s="4"/>
    </row>
    <row r="211" spans="1:13" ht="14.5" x14ac:dyDescent="0.35">
      <c r="A211" s="511" t="s">
        <v>936</v>
      </c>
      <c r="B211" s="505">
        <v>3.5148352900000051</v>
      </c>
      <c r="C211" s="505">
        <v>53.227450790000013</v>
      </c>
      <c r="D211" s="230">
        <f>Table4124[[#This Row],[Column2]]-Table4124[[#This Row],[Column3]]</f>
        <v>-49.712615500000005</v>
      </c>
      <c r="I211" s="4"/>
      <c r="J211" s="4"/>
      <c r="L211" s="4"/>
      <c r="M211" s="4"/>
    </row>
    <row r="212" spans="1:13" ht="14.5" x14ac:dyDescent="0.35">
      <c r="A212" s="511" t="s">
        <v>937</v>
      </c>
      <c r="B212" s="505">
        <v>1.6003499999999999E-3</v>
      </c>
      <c r="C212" s="505">
        <v>49.729316390000008</v>
      </c>
      <c r="D212" s="230">
        <f>Table4124[[#This Row],[Column2]]-Table4124[[#This Row],[Column3]]</f>
        <v>-49.727716040000011</v>
      </c>
      <c r="I212" s="4"/>
      <c r="J212" s="4"/>
      <c r="L212" s="4"/>
      <c r="M212" s="4"/>
    </row>
    <row r="213" spans="1:13" ht="14.5" x14ac:dyDescent="0.35">
      <c r="A213" s="511" t="s">
        <v>938</v>
      </c>
      <c r="B213" s="505">
        <v>14.659683670000001</v>
      </c>
      <c r="C213" s="505">
        <v>66.130091399999998</v>
      </c>
      <c r="D213" s="230">
        <f>Table4124[[#This Row],[Column2]]-Table4124[[#This Row],[Column3]]</f>
        <v>-51.470407729999998</v>
      </c>
      <c r="I213" s="4"/>
      <c r="J213" s="4"/>
      <c r="L213" s="4"/>
      <c r="M213" s="4"/>
    </row>
    <row r="214" spans="1:13" ht="14.5" x14ac:dyDescent="0.35">
      <c r="A214" s="511" t="s">
        <v>939</v>
      </c>
      <c r="B214" s="505">
        <v>45.287822249999998</v>
      </c>
      <c r="C214" s="505">
        <v>98.54689101000001</v>
      </c>
      <c r="D214" s="230">
        <f>Table4124[[#This Row],[Column2]]-Table4124[[#This Row],[Column3]]</f>
        <v>-53.259068760000012</v>
      </c>
      <c r="I214" s="4"/>
      <c r="J214" s="4"/>
      <c r="L214" s="4"/>
      <c r="M214" s="4"/>
    </row>
    <row r="215" spans="1:13" ht="14.5" x14ac:dyDescent="0.35">
      <c r="A215" s="511" t="s">
        <v>940</v>
      </c>
      <c r="B215" s="505">
        <v>4.7347992999999997</v>
      </c>
      <c r="C215" s="505">
        <v>58.986184310000013</v>
      </c>
      <c r="D215" s="230">
        <f>Table4124[[#This Row],[Column2]]-Table4124[[#This Row],[Column3]]</f>
        <v>-54.251385010000014</v>
      </c>
      <c r="I215" s="4"/>
      <c r="J215" s="4"/>
      <c r="L215" s="4"/>
      <c r="M215" s="4"/>
    </row>
    <row r="216" spans="1:13" ht="14.5" x14ac:dyDescent="0.35">
      <c r="A216" s="511" t="s">
        <v>941</v>
      </c>
      <c r="B216" s="505">
        <v>0.87348663999999987</v>
      </c>
      <c r="C216" s="505">
        <v>55.284743470000002</v>
      </c>
      <c r="D216" s="230">
        <f>Table4124[[#This Row],[Column2]]-Table4124[[#This Row],[Column3]]</f>
        <v>-54.411256829999999</v>
      </c>
      <c r="I216" s="4"/>
      <c r="J216" s="4"/>
      <c r="L216" s="4"/>
      <c r="M216" s="4"/>
    </row>
    <row r="217" spans="1:13" ht="14.5" x14ac:dyDescent="0.35">
      <c r="A217" s="511" t="s">
        <v>942</v>
      </c>
      <c r="B217" s="505">
        <v>0.53248553999999992</v>
      </c>
      <c r="C217" s="505">
        <v>56.146702850000004</v>
      </c>
      <c r="D217" s="230">
        <f>Table4124[[#This Row],[Column2]]-Table4124[[#This Row],[Column3]]</f>
        <v>-55.614217310000001</v>
      </c>
      <c r="I217" s="4"/>
      <c r="J217" s="4"/>
      <c r="L217" s="4"/>
      <c r="M217" s="4"/>
    </row>
    <row r="218" spans="1:13" ht="14.5" x14ac:dyDescent="0.35">
      <c r="A218" s="511" t="s">
        <v>943</v>
      </c>
      <c r="B218" s="505">
        <v>25.550402570000003</v>
      </c>
      <c r="C218" s="505">
        <v>82.204720459999976</v>
      </c>
      <c r="D218" s="230">
        <f>Table4124[[#This Row],[Column2]]-Table4124[[#This Row],[Column3]]</f>
        <v>-56.654317889999973</v>
      </c>
      <c r="I218" s="4"/>
      <c r="J218" s="4"/>
      <c r="L218" s="4"/>
      <c r="M218" s="4"/>
    </row>
    <row r="219" spans="1:13" ht="14.5" x14ac:dyDescent="0.35">
      <c r="A219" s="511" t="s">
        <v>944</v>
      </c>
      <c r="B219" s="505">
        <v>8.1802380000000008E-2</v>
      </c>
      <c r="C219" s="505">
        <v>58.294446470000004</v>
      </c>
      <c r="D219" s="230">
        <f>Table4124[[#This Row],[Column2]]-Table4124[[#This Row],[Column3]]</f>
        <v>-58.212644090000005</v>
      </c>
      <c r="I219" s="4"/>
      <c r="J219" s="4"/>
      <c r="L219" s="4"/>
      <c r="M219" s="4"/>
    </row>
    <row r="220" spans="1:13" ht="14.5" x14ac:dyDescent="0.35">
      <c r="A220" s="511" t="s">
        <v>945</v>
      </c>
      <c r="B220" s="505">
        <v>4.2682587499999993</v>
      </c>
      <c r="C220" s="505">
        <v>62.746790230000002</v>
      </c>
      <c r="D220" s="230">
        <f>Table4124[[#This Row],[Column2]]-Table4124[[#This Row],[Column3]]</f>
        <v>-58.478531480000001</v>
      </c>
      <c r="I220" s="4"/>
      <c r="J220" s="4"/>
      <c r="L220" s="4"/>
      <c r="M220" s="4"/>
    </row>
    <row r="221" spans="1:13" ht="14.5" x14ac:dyDescent="0.35">
      <c r="A221" s="511" t="s">
        <v>946</v>
      </c>
      <c r="B221" s="505">
        <v>2.955055380000001</v>
      </c>
      <c r="C221" s="505">
        <v>62.161885490000003</v>
      </c>
      <c r="D221" s="230">
        <f>Table4124[[#This Row],[Column2]]-Table4124[[#This Row],[Column3]]</f>
        <v>-59.206830109999999</v>
      </c>
      <c r="I221" s="4"/>
      <c r="J221" s="4"/>
      <c r="L221" s="4"/>
      <c r="M221" s="4"/>
    </row>
    <row r="222" spans="1:13" ht="14.5" x14ac:dyDescent="0.35">
      <c r="A222" s="511" t="s">
        <v>947</v>
      </c>
      <c r="B222" s="505">
        <v>1.15584095</v>
      </c>
      <c r="C222" s="505">
        <v>62.153644839999998</v>
      </c>
      <c r="D222" s="230">
        <f>Table4124[[#This Row],[Column2]]-Table4124[[#This Row],[Column3]]</f>
        <v>-60.99780389</v>
      </c>
      <c r="I222" s="4"/>
      <c r="J222" s="4"/>
      <c r="L222" s="4"/>
      <c r="M222" s="4"/>
    </row>
    <row r="223" spans="1:13" ht="14.5" x14ac:dyDescent="0.35">
      <c r="A223" s="511" t="s">
        <v>948</v>
      </c>
      <c r="B223" s="505">
        <v>17.411868859999998</v>
      </c>
      <c r="C223" s="505">
        <v>82.758618120000065</v>
      </c>
      <c r="D223" s="230">
        <f>Table4124[[#This Row],[Column2]]-Table4124[[#This Row],[Column3]]</f>
        <v>-65.346749260000067</v>
      </c>
      <c r="I223" s="4"/>
      <c r="J223" s="4"/>
      <c r="L223" s="4"/>
      <c r="M223" s="4"/>
    </row>
    <row r="224" spans="1:13" ht="14.5" x14ac:dyDescent="0.35">
      <c r="A224" s="511" t="s">
        <v>949</v>
      </c>
      <c r="B224" s="505">
        <v>2.3606567500000009</v>
      </c>
      <c r="C224" s="505">
        <v>68.45386298999999</v>
      </c>
      <c r="D224" s="230">
        <f>Table4124[[#This Row],[Column2]]-Table4124[[#This Row],[Column3]]</f>
        <v>-66.093206239999986</v>
      </c>
      <c r="I224" s="4"/>
      <c r="J224" s="4"/>
      <c r="L224" s="4"/>
      <c r="M224" s="4"/>
    </row>
    <row r="225" spans="1:13" ht="14.5" x14ac:dyDescent="0.35">
      <c r="A225" s="511" t="s">
        <v>950</v>
      </c>
      <c r="B225" s="505">
        <v>36.983408219999987</v>
      </c>
      <c r="C225" s="505">
        <v>106.66761766999993</v>
      </c>
      <c r="D225" s="230">
        <f>Table4124[[#This Row],[Column2]]-Table4124[[#This Row],[Column3]]</f>
        <v>-69.68420944999994</v>
      </c>
      <c r="I225" s="4"/>
      <c r="J225" s="4"/>
      <c r="L225" s="4"/>
      <c r="M225" s="4"/>
    </row>
    <row r="226" spans="1:13" ht="14.5" x14ac:dyDescent="0.35">
      <c r="A226" s="511" t="s">
        <v>951</v>
      </c>
      <c r="B226" s="505">
        <v>4.1739129999999999E-2</v>
      </c>
      <c r="C226" s="505">
        <v>70.089138779999956</v>
      </c>
      <c r="D226" s="230">
        <f>Table4124[[#This Row],[Column2]]-Table4124[[#This Row],[Column3]]</f>
        <v>-70.04739964999996</v>
      </c>
      <c r="I226" s="4"/>
      <c r="J226" s="4"/>
      <c r="L226" s="4"/>
      <c r="M226" s="4"/>
    </row>
    <row r="227" spans="1:13" ht="14.5" x14ac:dyDescent="0.35">
      <c r="A227" s="511" t="s">
        <v>952</v>
      </c>
      <c r="B227" s="505">
        <v>7.6386937199999991</v>
      </c>
      <c r="C227" s="505">
        <v>78.509325970000006</v>
      </c>
      <c r="D227" s="230">
        <f>Table4124[[#This Row],[Column2]]-Table4124[[#This Row],[Column3]]</f>
        <v>-70.87063225</v>
      </c>
      <c r="I227" s="4"/>
      <c r="J227" s="4"/>
      <c r="L227" s="4"/>
      <c r="M227" s="4"/>
    </row>
    <row r="228" spans="1:13" ht="14.5" x14ac:dyDescent="0.35">
      <c r="A228" s="511" t="s">
        <v>953</v>
      </c>
      <c r="B228" s="505">
        <v>1.75094873</v>
      </c>
      <c r="C228" s="505">
        <v>72.788386140000014</v>
      </c>
      <c r="D228" s="230">
        <f>Table4124[[#This Row],[Column2]]-Table4124[[#This Row],[Column3]]</f>
        <v>-71.03743741000001</v>
      </c>
      <c r="I228" s="4"/>
      <c r="J228" s="4"/>
      <c r="L228" s="4"/>
      <c r="M228" s="4"/>
    </row>
    <row r="229" spans="1:13" ht="14.5" x14ac:dyDescent="0.35">
      <c r="A229" s="511" t="s">
        <v>954</v>
      </c>
      <c r="B229" s="505">
        <v>24.340740019999998</v>
      </c>
      <c r="C229" s="505">
        <v>95.470726039999988</v>
      </c>
      <c r="D229" s="230">
        <f>Table4124[[#This Row],[Column2]]-Table4124[[#This Row],[Column3]]</f>
        <v>-71.12998601999999</v>
      </c>
      <c r="I229" s="4"/>
      <c r="J229" s="4"/>
      <c r="L229" s="4"/>
      <c r="M229" s="4"/>
    </row>
    <row r="230" spans="1:13" ht="14.5" x14ac:dyDescent="0.35">
      <c r="A230" s="511" t="s">
        <v>955</v>
      </c>
      <c r="B230" s="505">
        <v>25.564072600000003</v>
      </c>
      <c r="C230" s="505">
        <v>97.699947949999995</v>
      </c>
      <c r="D230" s="230">
        <f>Table4124[[#This Row],[Column2]]-Table4124[[#This Row],[Column3]]</f>
        <v>-72.135875349999992</v>
      </c>
      <c r="I230" s="4"/>
      <c r="J230" s="4"/>
      <c r="L230" s="4"/>
      <c r="M230" s="4"/>
    </row>
    <row r="231" spans="1:13" ht="14.5" x14ac:dyDescent="0.35">
      <c r="A231" s="511" t="s">
        <v>956</v>
      </c>
      <c r="B231" s="505">
        <v>74.89779393000002</v>
      </c>
      <c r="C231" s="505">
        <v>148.79160605000001</v>
      </c>
      <c r="D231" s="230">
        <f>Table4124[[#This Row],[Column2]]-Table4124[[#This Row],[Column3]]</f>
        <v>-73.893812119999993</v>
      </c>
      <c r="I231" s="4"/>
      <c r="J231" s="4"/>
      <c r="L231" s="4"/>
      <c r="M231" s="4"/>
    </row>
    <row r="232" spans="1:13" ht="14.5" x14ac:dyDescent="0.35">
      <c r="A232" s="511" t="s">
        <v>957</v>
      </c>
      <c r="B232" s="505">
        <v>20.004911079999999</v>
      </c>
      <c r="C232" s="505">
        <v>102.42329159000008</v>
      </c>
      <c r="D232" s="230">
        <f>Table4124[[#This Row],[Column2]]-Table4124[[#This Row],[Column3]]</f>
        <v>-82.418380510000077</v>
      </c>
      <c r="I232" s="4"/>
      <c r="J232" s="4"/>
      <c r="L232" s="4"/>
      <c r="M232" s="4"/>
    </row>
    <row r="233" spans="1:13" ht="14.5" x14ac:dyDescent="0.35">
      <c r="A233" s="511" t="s">
        <v>958</v>
      </c>
      <c r="B233" s="505">
        <v>0.28182830999999997</v>
      </c>
      <c r="C233" s="505">
        <v>84.542556070000018</v>
      </c>
      <c r="D233" s="230">
        <f>Table4124[[#This Row],[Column2]]-Table4124[[#This Row],[Column3]]</f>
        <v>-84.260727760000023</v>
      </c>
      <c r="I233" s="4"/>
      <c r="J233" s="4"/>
      <c r="L233" s="4"/>
      <c r="M233" s="4"/>
    </row>
    <row r="234" spans="1:13" ht="14.5" x14ac:dyDescent="0.35">
      <c r="A234" s="511" t="s">
        <v>959</v>
      </c>
      <c r="B234" s="505">
        <v>1.1122229099999998</v>
      </c>
      <c r="C234" s="505">
        <v>86.37218991000006</v>
      </c>
      <c r="D234" s="230">
        <f>Table4124[[#This Row],[Column2]]-Table4124[[#This Row],[Column3]]</f>
        <v>-85.25996700000006</v>
      </c>
      <c r="I234" s="4"/>
      <c r="J234" s="4"/>
      <c r="L234" s="4"/>
      <c r="M234" s="4"/>
    </row>
    <row r="235" spans="1:13" ht="14.5" x14ac:dyDescent="0.35">
      <c r="A235" s="511" t="s">
        <v>960</v>
      </c>
      <c r="B235" s="505">
        <v>1.61451119</v>
      </c>
      <c r="C235" s="505">
        <v>88.807534949999948</v>
      </c>
      <c r="D235" s="230">
        <f>Table4124[[#This Row],[Column2]]-Table4124[[#This Row],[Column3]]</f>
        <v>-87.193023759999946</v>
      </c>
      <c r="I235" s="4"/>
      <c r="J235" s="4"/>
      <c r="L235" s="4"/>
      <c r="M235" s="4"/>
    </row>
    <row r="236" spans="1:13" ht="14.5" x14ac:dyDescent="0.35">
      <c r="A236" s="511" t="s">
        <v>961</v>
      </c>
      <c r="B236" s="505">
        <v>5.4817373399999996</v>
      </c>
      <c r="C236" s="505">
        <v>92.973470139999975</v>
      </c>
      <c r="D236" s="230">
        <f>Table4124[[#This Row],[Column2]]-Table4124[[#This Row],[Column3]]</f>
        <v>-87.49173279999998</v>
      </c>
      <c r="I236" s="4"/>
      <c r="J236" s="4"/>
      <c r="L236" s="4"/>
      <c r="M236" s="4"/>
    </row>
    <row r="237" spans="1:13" ht="14.5" x14ac:dyDescent="0.35">
      <c r="A237" s="511" t="s">
        <v>962</v>
      </c>
      <c r="B237" s="505">
        <v>0.21855139000000001</v>
      </c>
      <c r="C237" s="505">
        <v>89.095478889999995</v>
      </c>
      <c r="D237" s="230">
        <f>Table4124[[#This Row],[Column2]]-Table4124[[#This Row],[Column3]]</f>
        <v>-88.876927499999994</v>
      </c>
      <c r="I237" s="4"/>
      <c r="J237" s="4"/>
      <c r="L237" s="4"/>
      <c r="M237" s="4"/>
    </row>
    <row r="238" spans="1:13" ht="14.5" x14ac:dyDescent="0.35">
      <c r="A238" s="511" t="s">
        <v>963</v>
      </c>
      <c r="B238" s="505">
        <v>0.39301381000000002</v>
      </c>
      <c r="C238" s="505">
        <v>90.94688625000002</v>
      </c>
      <c r="D238" s="230">
        <f>Table4124[[#This Row],[Column2]]-Table4124[[#This Row],[Column3]]</f>
        <v>-90.553872440000021</v>
      </c>
      <c r="I238" s="4"/>
      <c r="J238" s="4"/>
      <c r="L238" s="4"/>
      <c r="M238" s="4"/>
    </row>
    <row r="239" spans="1:13" ht="14.5" x14ac:dyDescent="0.35">
      <c r="A239" s="511" t="s">
        <v>964</v>
      </c>
      <c r="B239" s="505">
        <v>20.15300311</v>
      </c>
      <c r="C239" s="505">
        <v>112.36123395000003</v>
      </c>
      <c r="D239" s="230">
        <f>Table4124[[#This Row],[Column2]]-Table4124[[#This Row],[Column3]]</f>
        <v>-92.208230840000027</v>
      </c>
      <c r="I239" s="4"/>
      <c r="J239" s="4"/>
      <c r="L239" s="4"/>
      <c r="M239" s="4"/>
    </row>
    <row r="240" spans="1:13" ht="14.5" x14ac:dyDescent="0.35">
      <c r="A240" s="511" t="s">
        <v>965</v>
      </c>
      <c r="B240" s="505">
        <v>0.22576227999999998</v>
      </c>
      <c r="C240" s="505">
        <v>96.869515689999943</v>
      </c>
      <c r="D240" s="230">
        <f>Table4124[[#This Row],[Column2]]-Table4124[[#This Row],[Column3]]</f>
        <v>-96.643753409999945</v>
      </c>
      <c r="I240" s="4"/>
      <c r="J240" s="4"/>
      <c r="L240" s="4"/>
      <c r="M240" s="4"/>
    </row>
    <row r="241" spans="1:13" ht="14.5" x14ac:dyDescent="0.35">
      <c r="A241" s="511" t="s">
        <v>966</v>
      </c>
      <c r="B241" s="505">
        <v>4.0828000000000003E-2</v>
      </c>
      <c r="C241" s="505">
        <v>112.09147385999997</v>
      </c>
      <c r="D241" s="230">
        <f>Table4124[[#This Row],[Column2]]-Table4124[[#This Row],[Column3]]</f>
        <v>-112.05064585999996</v>
      </c>
      <c r="I241" s="4"/>
      <c r="J241" s="4"/>
      <c r="L241" s="4"/>
      <c r="M241" s="4"/>
    </row>
    <row r="242" spans="1:13" ht="14.5" x14ac:dyDescent="0.35">
      <c r="A242" s="511" t="s">
        <v>967</v>
      </c>
      <c r="B242" s="505">
        <v>10.42738125</v>
      </c>
      <c r="C242" s="505">
        <v>129.22719716000003</v>
      </c>
      <c r="D242" s="230">
        <f>Table4124[[#This Row],[Column2]]-Table4124[[#This Row],[Column3]]</f>
        <v>-118.79981591000004</v>
      </c>
      <c r="I242" s="4"/>
      <c r="J242" s="4"/>
      <c r="L242" s="4"/>
      <c r="M242" s="4"/>
    </row>
    <row r="243" spans="1:13" ht="14.5" x14ac:dyDescent="0.35">
      <c r="A243" s="511" t="s">
        <v>968</v>
      </c>
      <c r="B243" s="505">
        <v>1.3814477199999999</v>
      </c>
      <c r="C243" s="505">
        <v>125.85448415000006</v>
      </c>
      <c r="D243" s="230">
        <f>Table4124[[#This Row],[Column2]]-Table4124[[#This Row],[Column3]]</f>
        <v>-124.47303643000006</v>
      </c>
      <c r="I243" s="4"/>
      <c r="J243" s="4"/>
      <c r="L243" s="4"/>
      <c r="M243" s="4"/>
    </row>
    <row r="244" spans="1:13" ht="14.5" x14ac:dyDescent="0.35">
      <c r="A244" s="511" t="s">
        <v>969</v>
      </c>
      <c r="B244" s="505">
        <v>1.5448817599999993</v>
      </c>
      <c r="C244" s="505">
        <v>127.43648595000001</v>
      </c>
      <c r="D244" s="230">
        <f>Table4124[[#This Row],[Column2]]-Table4124[[#This Row],[Column3]]</f>
        <v>-125.89160419000001</v>
      </c>
      <c r="I244" s="4"/>
      <c r="J244" s="4"/>
      <c r="L244" s="4"/>
      <c r="M244" s="4"/>
    </row>
    <row r="245" spans="1:13" ht="14.5" x14ac:dyDescent="0.35">
      <c r="A245" s="511" t="s">
        <v>970</v>
      </c>
      <c r="B245" s="505">
        <v>651.99157874999992</v>
      </c>
      <c r="C245" s="505">
        <v>799.58597953999958</v>
      </c>
      <c r="D245" s="230">
        <f>Table4124[[#This Row],[Column2]]-Table4124[[#This Row],[Column3]]</f>
        <v>-147.59440078999967</v>
      </c>
      <c r="I245" s="4"/>
      <c r="J245" s="4"/>
      <c r="L245" s="4"/>
      <c r="M245" s="4"/>
    </row>
    <row r="246" spans="1:13" ht="14.5" x14ac:dyDescent="0.35">
      <c r="A246" s="511" t="s">
        <v>971</v>
      </c>
      <c r="B246" s="505">
        <v>2.7788335700000002</v>
      </c>
      <c r="C246" s="505">
        <v>151.3054526599999</v>
      </c>
      <c r="D246" s="230">
        <f>Table4124[[#This Row],[Column2]]-Table4124[[#This Row],[Column3]]</f>
        <v>-148.52661908999991</v>
      </c>
      <c r="I246" s="4"/>
      <c r="J246" s="4"/>
      <c r="L246" s="4"/>
      <c r="M246" s="4"/>
    </row>
    <row r="247" spans="1:13" ht="14.5" x14ac:dyDescent="0.35">
      <c r="A247" s="511" t="s">
        <v>972</v>
      </c>
      <c r="B247" s="505">
        <v>87.967086250000065</v>
      </c>
      <c r="C247" s="505">
        <v>239.6563202100001</v>
      </c>
      <c r="D247" s="230">
        <f>Table4124[[#This Row],[Column2]]-Table4124[[#This Row],[Column3]]</f>
        <v>-151.68923396000002</v>
      </c>
      <c r="I247" s="4"/>
      <c r="J247" s="4"/>
      <c r="L247" s="4"/>
      <c r="M247" s="4"/>
    </row>
    <row r="248" spans="1:13" ht="14.5" x14ac:dyDescent="0.35">
      <c r="A248" s="511" t="s">
        <v>973</v>
      </c>
      <c r="B248" s="505">
        <v>10.988676280000002</v>
      </c>
      <c r="C248" s="505">
        <v>169.66662951999993</v>
      </c>
      <c r="D248" s="230">
        <f>Table4124[[#This Row],[Column2]]-Table4124[[#This Row],[Column3]]</f>
        <v>-158.67795323999994</v>
      </c>
      <c r="I248" s="4"/>
      <c r="J248" s="4"/>
      <c r="L248" s="4"/>
      <c r="M248" s="4"/>
    </row>
    <row r="249" spans="1:13" ht="14.5" x14ac:dyDescent="0.35">
      <c r="A249" s="511" t="s">
        <v>974</v>
      </c>
      <c r="B249" s="505">
        <v>2.6131912300000004</v>
      </c>
      <c r="C249" s="505">
        <v>171.35116357000001</v>
      </c>
      <c r="D249" s="230">
        <f>Table4124[[#This Row],[Column2]]-Table4124[[#This Row],[Column3]]</f>
        <v>-168.73797234</v>
      </c>
      <c r="I249" s="4"/>
      <c r="J249" s="4"/>
      <c r="L249" s="4"/>
      <c r="M249" s="4"/>
    </row>
    <row r="250" spans="1:13" ht="14.5" x14ac:dyDescent="0.35">
      <c r="A250" s="511" t="s">
        <v>975</v>
      </c>
      <c r="B250" s="505">
        <v>2.0101962800000002</v>
      </c>
      <c r="C250" s="505">
        <v>184.27654325000006</v>
      </c>
      <c r="D250" s="230">
        <f>Table4124[[#This Row],[Column2]]-Table4124[[#This Row],[Column3]]</f>
        <v>-182.26634697000006</v>
      </c>
      <c r="I250" s="4"/>
      <c r="J250" s="4"/>
      <c r="L250" s="4"/>
      <c r="M250" s="4"/>
    </row>
    <row r="251" spans="1:13" s="3" customFormat="1" ht="14.5" x14ac:dyDescent="0.35">
      <c r="A251" s="511" t="s">
        <v>976</v>
      </c>
      <c r="B251" s="505">
        <v>6.6013873299999988</v>
      </c>
      <c r="C251" s="505">
        <v>239.55035143999996</v>
      </c>
      <c r="D251" s="230">
        <f>Table4124[[#This Row],[Column2]]-Table4124[[#This Row],[Column3]]</f>
        <v>-232.94896410999996</v>
      </c>
      <c r="H251" s="1"/>
      <c r="I251" s="4"/>
      <c r="J251" s="4"/>
      <c r="L251" s="4"/>
      <c r="M251" s="4"/>
    </row>
    <row r="252" spans="1:13" ht="14.5" x14ac:dyDescent="0.35">
      <c r="A252" s="511" t="s">
        <v>463</v>
      </c>
      <c r="B252" s="505">
        <v>0.14288000000000001</v>
      </c>
      <c r="C252" s="505">
        <v>314.25920323999992</v>
      </c>
      <c r="D252" s="230">
        <f>Table4124[[#This Row],[Column2]]-Table4124[[#This Row],[Column3]]</f>
        <v>-314.11632323999993</v>
      </c>
      <c r="L252" s="2"/>
      <c r="M252" s="2"/>
    </row>
    <row r="253" spans="1:13" ht="14.5" x14ac:dyDescent="0.35">
      <c r="A253" s="511" t="s">
        <v>977</v>
      </c>
      <c r="B253" s="505"/>
      <c r="C253" s="505">
        <v>337.91109867999995</v>
      </c>
      <c r="D253" s="230">
        <f>Table4124[[#This Row],[Column2]]-Table4124[[#This Row],[Column3]]</f>
        <v>-337.91109867999995</v>
      </c>
    </row>
    <row r="254" spans="1:13" ht="14.5" x14ac:dyDescent="0.35">
      <c r="A254" s="511" t="s">
        <v>978</v>
      </c>
      <c r="B254" s="505">
        <v>27.611029090000002</v>
      </c>
      <c r="C254" s="505">
        <v>370.66573284000003</v>
      </c>
      <c r="D254" s="230">
        <f>Table4124[[#This Row],[Column2]]-Table4124[[#This Row],[Column3]]</f>
        <v>-343.05470375000004</v>
      </c>
    </row>
    <row r="255" spans="1:13" ht="14.5" x14ac:dyDescent="0.35">
      <c r="A255" s="512" t="s">
        <v>979</v>
      </c>
      <c r="B255" s="506">
        <v>394.2115470199999</v>
      </c>
      <c r="C255" s="506">
        <v>1898.7106446700004</v>
      </c>
      <c r="D255" s="230">
        <f>Table4124[[#This Row],[Column2]]-Table4124[[#This Row],[Column3]]</f>
        <v>-1504.4990976500005</v>
      </c>
    </row>
    <row r="256" spans="1:13" ht="14.5" x14ac:dyDescent="0.35">
      <c r="A256" s="229" t="s">
        <v>312</v>
      </c>
      <c r="B256" s="527">
        <f>SUM(B3:B255)</f>
        <v>11437.551189809998</v>
      </c>
      <c r="C256" s="527">
        <f>SUM(C3:C255)</f>
        <v>11244.30815103</v>
      </c>
      <c r="D256" s="266">
        <f>B256-C256</f>
        <v>193.24303877999773</v>
      </c>
    </row>
  </sheetData>
  <hyperlinks>
    <hyperlink ref="F1" location="'Table of Content'!A1" display="Table of Content" xr:uid="{5450E80F-CE67-46DB-AE37-459B73307831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S142"/>
  <sheetViews>
    <sheetView zoomScaleNormal="100" workbookViewId="0">
      <selection activeCell="J1" sqref="J1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0" customWidth="1"/>
    <col min="4" max="4" width="14.90625" style="20" bestFit="1" customWidth="1"/>
    <col min="5" max="5" width="11.6328125" style="40" customWidth="1"/>
    <col min="6" max="6" width="13.1796875" style="20" customWidth="1"/>
    <col min="7" max="7" width="11.6328125" style="40" customWidth="1"/>
    <col min="8" max="8" width="12.81640625" style="40" bestFit="1" customWidth="1"/>
    <col min="9" max="9" width="15.36328125" style="40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9" ht="13" x14ac:dyDescent="0.3">
      <c r="A1" s="11" t="s">
        <v>627</v>
      </c>
      <c r="B1" s="11"/>
      <c r="C1" s="238"/>
      <c r="D1" s="237"/>
      <c r="K1" s="49" t="s">
        <v>239</v>
      </c>
      <c r="Q1" s="602"/>
      <c r="R1" s="602"/>
    </row>
    <row r="2" spans="1:19" ht="13" x14ac:dyDescent="0.3">
      <c r="A2" s="603" t="s">
        <v>626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00" t="s">
        <v>233</v>
      </c>
      <c r="I2" s="600" t="s">
        <v>625</v>
      </c>
    </row>
    <row r="3" spans="1:19" ht="13" x14ac:dyDescent="0.3">
      <c r="A3" s="604"/>
      <c r="B3" s="236" t="s">
        <v>624</v>
      </c>
      <c r="C3" s="207" t="s">
        <v>234</v>
      </c>
      <c r="D3" s="236" t="s">
        <v>624</v>
      </c>
      <c r="E3" s="26" t="s">
        <v>234</v>
      </c>
      <c r="F3" s="236" t="s">
        <v>624</v>
      </c>
      <c r="G3" s="26" t="s">
        <v>234</v>
      </c>
      <c r="H3" s="601"/>
      <c r="I3" s="601"/>
      <c r="J3" s="235"/>
      <c r="K3" s="38"/>
    </row>
    <row r="4" spans="1:19" x14ac:dyDescent="0.25">
      <c r="A4" s="56" t="s">
        <v>235</v>
      </c>
      <c r="B4" s="45">
        <v>2430.655942190006</v>
      </c>
      <c r="C4" s="234">
        <f t="shared" ref="C4:C35" si="0">(B4/$B$142)*100</f>
        <v>23.972053749761333</v>
      </c>
      <c r="D4" s="534">
        <v>2731.8208630500021</v>
      </c>
      <c r="E4" s="234">
        <f t="shared" ref="E4:E35" si="1">(D4/$D$142)*100</f>
        <v>25.494416927871534</v>
      </c>
      <c r="F4" s="534">
        <v>2582.4099248700049</v>
      </c>
      <c r="G4" s="531">
        <f t="shared" ref="G4:G35" si="2">(F4/$F$142)*100</f>
        <v>22.578346378643857</v>
      </c>
      <c r="H4" s="181">
        <f t="shared" ref="H4" si="3">((F4/D4)-1)*100</f>
        <v>-5.4692802226125492</v>
      </c>
      <c r="I4" s="181">
        <f t="shared" ref="I4" si="4">((F4/B4)-1)*100</f>
        <v>6.2433345684979713</v>
      </c>
      <c r="K4" s="209"/>
      <c r="O4" s="18"/>
      <c r="P4" s="18"/>
      <c r="Q4" s="18"/>
      <c r="R4" s="18"/>
      <c r="S4" s="18"/>
    </row>
    <row r="5" spans="1:19" x14ac:dyDescent="0.25">
      <c r="A5" s="21" t="s">
        <v>246</v>
      </c>
      <c r="B5" s="46">
        <v>292.23948007000007</v>
      </c>
      <c r="C5" s="232">
        <f t="shared" si="0"/>
        <v>2.8821769475643531</v>
      </c>
      <c r="D5" s="35">
        <v>2137.22693316</v>
      </c>
      <c r="E5" s="232">
        <f t="shared" si="1"/>
        <v>19.945434651459408</v>
      </c>
      <c r="F5" s="35">
        <v>2289.1105271200013</v>
      </c>
      <c r="G5" s="532">
        <f t="shared" si="2"/>
        <v>20.013991536574942</v>
      </c>
      <c r="H5" s="180">
        <f t="shared" ref="H5:H68" si="5">((F5/D5)-1)*100</f>
        <v>7.1065730832538865</v>
      </c>
      <c r="I5" s="180">
        <f t="shared" ref="I5:I68" si="6">((F5/B5)-1)*100</f>
        <v>683.29954822383718</v>
      </c>
      <c r="K5" s="209"/>
      <c r="O5" s="18"/>
      <c r="P5" s="18"/>
      <c r="Q5" s="18"/>
      <c r="R5" s="18"/>
      <c r="S5" s="18"/>
    </row>
    <row r="6" spans="1:19" x14ac:dyDescent="0.25">
      <c r="A6" s="21" t="s">
        <v>256</v>
      </c>
      <c r="B6" s="46">
        <v>106.14980288999995</v>
      </c>
      <c r="C6" s="232">
        <f t="shared" si="0"/>
        <v>1.0468897453717594</v>
      </c>
      <c r="D6" s="35">
        <v>44.108350179999988</v>
      </c>
      <c r="E6" s="232">
        <f t="shared" si="1"/>
        <v>0.41163631360292985</v>
      </c>
      <c r="F6" s="35">
        <v>1273.9489950299997</v>
      </c>
      <c r="G6" s="532">
        <f t="shared" si="2"/>
        <v>11.138302018398763</v>
      </c>
      <c r="H6" s="180">
        <f t="shared" si="5"/>
        <v>2788.226355851426</v>
      </c>
      <c r="I6" s="180">
        <f t="shared" si="6"/>
        <v>1100.1425912680754</v>
      </c>
      <c r="K6" s="209"/>
      <c r="O6" s="18"/>
      <c r="P6" s="18"/>
      <c r="Q6" s="18"/>
      <c r="R6" s="18"/>
      <c r="S6" s="18"/>
    </row>
    <row r="7" spans="1:19" ht="12.65" customHeight="1" x14ac:dyDescent="0.25">
      <c r="A7" s="21" t="s">
        <v>247</v>
      </c>
      <c r="B7" s="46">
        <v>1188.9945049799999</v>
      </c>
      <c r="C7" s="232">
        <f t="shared" si="0"/>
        <v>11.726316212351602</v>
      </c>
      <c r="D7" s="35">
        <v>1036.55690323</v>
      </c>
      <c r="E7" s="232">
        <f t="shared" si="1"/>
        <v>9.6735529835966805</v>
      </c>
      <c r="F7" s="35">
        <v>1080.4591263199995</v>
      </c>
      <c r="G7" s="532">
        <f t="shared" si="2"/>
        <v>9.4465948907193251</v>
      </c>
      <c r="H7" s="180">
        <f t="shared" si="5"/>
        <v>4.2353895819126297</v>
      </c>
      <c r="I7" s="180">
        <f t="shared" si="6"/>
        <v>-9.1283330751663954</v>
      </c>
      <c r="K7" s="209"/>
      <c r="O7" s="18"/>
      <c r="P7" s="18"/>
      <c r="Q7" s="18"/>
      <c r="R7" s="18"/>
      <c r="S7" s="18"/>
    </row>
    <row r="8" spans="1:19" x14ac:dyDescent="0.25">
      <c r="A8" s="21" t="s">
        <v>245</v>
      </c>
      <c r="B8" s="46">
        <v>1241.39868355</v>
      </c>
      <c r="C8" s="232">
        <f t="shared" si="0"/>
        <v>12.243146160838787</v>
      </c>
      <c r="D8" s="35">
        <v>1611.4532373399998</v>
      </c>
      <c r="E8" s="232">
        <f t="shared" si="1"/>
        <v>15.038709619724544</v>
      </c>
      <c r="F8" s="35">
        <v>775.57119573999955</v>
      </c>
      <c r="G8" s="532">
        <f t="shared" si="2"/>
        <v>6.7809199965021785</v>
      </c>
      <c r="H8" s="180">
        <f t="shared" si="5"/>
        <v>-51.871318523631338</v>
      </c>
      <c r="I8" s="180">
        <f t="shared" si="6"/>
        <v>-37.524406460451857</v>
      </c>
      <c r="K8" s="233"/>
      <c r="O8" s="18"/>
      <c r="P8" s="18"/>
      <c r="Q8" s="18"/>
      <c r="R8" s="18"/>
      <c r="S8" s="18"/>
    </row>
    <row r="9" spans="1:19" x14ac:dyDescent="0.25">
      <c r="A9" s="21" t="s">
        <v>266</v>
      </c>
      <c r="B9" s="46">
        <v>195.40449318999998</v>
      </c>
      <c r="C9" s="232">
        <f t="shared" si="0"/>
        <v>1.9271534619066957</v>
      </c>
      <c r="D9" s="35">
        <v>236.73366325999996</v>
      </c>
      <c r="E9" s="232">
        <f t="shared" si="1"/>
        <v>2.2092908044030533</v>
      </c>
      <c r="F9" s="35">
        <v>590.09228424000003</v>
      </c>
      <c r="G9" s="532">
        <f t="shared" si="2"/>
        <v>5.1592537112815515</v>
      </c>
      <c r="H9" s="180">
        <f t="shared" si="5"/>
        <v>149.26420523130807</v>
      </c>
      <c r="I9" s="180">
        <f t="shared" si="6"/>
        <v>201.98501303970966</v>
      </c>
      <c r="K9" s="233"/>
      <c r="O9" s="18"/>
      <c r="P9" s="18"/>
      <c r="Q9" s="18"/>
      <c r="R9" s="18"/>
      <c r="S9" s="18"/>
    </row>
    <row r="10" spans="1:19" x14ac:dyDescent="0.25">
      <c r="A10" s="21" t="s">
        <v>615</v>
      </c>
      <c r="B10" s="46">
        <v>457.37826785999965</v>
      </c>
      <c r="C10" s="232">
        <f t="shared" si="0"/>
        <v>4.5108385069233137</v>
      </c>
      <c r="D10" s="35">
        <v>314.34908691000004</v>
      </c>
      <c r="E10" s="232">
        <f t="shared" si="1"/>
        <v>2.9336281858656323</v>
      </c>
      <c r="F10" s="35">
        <v>452.57704581999997</v>
      </c>
      <c r="G10" s="532">
        <f t="shared" si="2"/>
        <v>3.9569400679335267</v>
      </c>
      <c r="H10" s="180">
        <f t="shared" si="5"/>
        <v>43.972756615506057</v>
      </c>
      <c r="I10" s="180">
        <f t="shared" si="6"/>
        <v>-1.0497267529705478</v>
      </c>
      <c r="K10" s="233"/>
      <c r="O10" s="18"/>
      <c r="P10" s="18"/>
      <c r="Q10" s="18"/>
      <c r="R10" s="18"/>
      <c r="S10" s="18"/>
    </row>
    <row r="11" spans="1:19" x14ac:dyDescent="0.25">
      <c r="A11" s="21" t="s">
        <v>248</v>
      </c>
      <c r="B11" s="46">
        <v>195.33775055999999</v>
      </c>
      <c r="C11" s="232">
        <f t="shared" si="0"/>
        <v>1.9264952206945241</v>
      </c>
      <c r="D11" s="35">
        <v>575.82653960000005</v>
      </c>
      <c r="E11" s="232">
        <f t="shared" si="1"/>
        <v>5.3738376762763691</v>
      </c>
      <c r="F11" s="35">
        <v>389.22617521999996</v>
      </c>
      <c r="G11" s="532">
        <f t="shared" si="2"/>
        <v>3.4030551536833431</v>
      </c>
      <c r="H11" s="180">
        <f t="shared" si="5"/>
        <v>-32.40565544436744</v>
      </c>
      <c r="I11" s="180">
        <f t="shared" si="6"/>
        <v>99.258041061778869</v>
      </c>
      <c r="K11" s="209"/>
      <c r="O11" s="18"/>
      <c r="P11" s="18"/>
      <c r="Q11" s="18"/>
      <c r="R11" s="18"/>
      <c r="S11" s="18"/>
    </row>
    <row r="12" spans="1:19" x14ac:dyDescent="0.25">
      <c r="A12" s="21" t="s">
        <v>249</v>
      </c>
      <c r="B12" s="46">
        <v>369.66784103999998</v>
      </c>
      <c r="C12" s="232">
        <f t="shared" si="0"/>
        <v>3.6458049044097836</v>
      </c>
      <c r="D12" s="35">
        <v>143.72885585</v>
      </c>
      <c r="E12" s="232">
        <f t="shared" si="1"/>
        <v>1.3413336962053861</v>
      </c>
      <c r="F12" s="35">
        <v>317.32390033999997</v>
      </c>
      <c r="G12" s="532">
        <f t="shared" si="2"/>
        <v>2.7744041978383587</v>
      </c>
      <c r="H12" s="180">
        <f t="shared" si="5"/>
        <v>120.77953551037051</v>
      </c>
      <c r="I12" s="180">
        <f t="shared" si="6"/>
        <v>-14.159722564110233</v>
      </c>
      <c r="J12" s="194"/>
      <c r="K12" s="233"/>
      <c r="O12" s="18"/>
      <c r="P12" s="18"/>
      <c r="Q12" s="18"/>
      <c r="R12" s="18"/>
      <c r="S12" s="18"/>
    </row>
    <row r="13" spans="1:19" x14ac:dyDescent="0.25">
      <c r="A13" s="21" t="s">
        <v>251</v>
      </c>
      <c r="B13" s="46">
        <v>709.41549797999994</v>
      </c>
      <c r="C13" s="232">
        <f t="shared" si="0"/>
        <v>6.9965255688009167</v>
      </c>
      <c r="D13" s="35">
        <v>181.02840378000002</v>
      </c>
      <c r="E13" s="232">
        <f t="shared" si="1"/>
        <v>1.6894276137131619</v>
      </c>
      <c r="F13" s="35">
        <v>289.02248231000004</v>
      </c>
      <c r="G13" s="532">
        <f t="shared" si="2"/>
        <v>2.5269612132315284</v>
      </c>
      <c r="H13" s="180">
        <f t="shared" si="5"/>
        <v>59.655875141694857</v>
      </c>
      <c r="I13" s="180">
        <f t="shared" si="6"/>
        <v>-59.259068467919448</v>
      </c>
      <c r="K13" s="233"/>
      <c r="O13" s="18"/>
      <c r="P13" s="18"/>
      <c r="Q13" s="18"/>
      <c r="R13" s="18"/>
      <c r="S13" s="18"/>
    </row>
    <row r="14" spans="1:19" x14ac:dyDescent="0.25">
      <c r="A14" s="21" t="s">
        <v>334</v>
      </c>
      <c r="B14" s="46">
        <v>106.34110063000003</v>
      </c>
      <c r="C14" s="232">
        <f t="shared" si="0"/>
        <v>1.0487763964711159</v>
      </c>
      <c r="D14" s="35">
        <v>193.31636202999999</v>
      </c>
      <c r="E14" s="232">
        <f t="shared" si="1"/>
        <v>1.8041036289142522</v>
      </c>
      <c r="F14" s="35">
        <v>167.40881948000001</v>
      </c>
      <c r="G14" s="532">
        <f t="shared" si="2"/>
        <v>1.4636771167341187</v>
      </c>
      <c r="H14" s="180">
        <f t="shared" si="5"/>
        <v>-13.401629473029031</v>
      </c>
      <c r="I14" s="180">
        <f t="shared" si="6"/>
        <v>57.426261801142275</v>
      </c>
      <c r="K14" s="233"/>
      <c r="O14" s="18"/>
      <c r="P14" s="18"/>
      <c r="Q14" s="18"/>
      <c r="R14" s="18"/>
      <c r="S14" s="18"/>
    </row>
    <row r="15" spans="1:19" x14ac:dyDescent="0.25">
      <c r="A15" s="21" t="s">
        <v>285</v>
      </c>
      <c r="B15" s="46">
        <v>3.03531935</v>
      </c>
      <c r="C15" s="232">
        <f t="shared" si="0"/>
        <v>2.9935474347855155E-2</v>
      </c>
      <c r="D15" s="35">
        <v>12.884175480000001</v>
      </c>
      <c r="E15" s="232">
        <f t="shared" si="1"/>
        <v>0.12024014674675508</v>
      </c>
      <c r="F15" s="35">
        <v>128.98030589000001</v>
      </c>
      <c r="G15" s="532">
        <f t="shared" si="2"/>
        <v>1.1276916164092163</v>
      </c>
      <c r="H15" s="180">
        <f t="shared" si="5"/>
        <v>901.07535860727046</v>
      </c>
      <c r="I15" s="180">
        <f t="shared" si="6"/>
        <v>4149.315838545951</v>
      </c>
      <c r="K15" s="233"/>
      <c r="O15" s="18"/>
      <c r="P15" s="18"/>
      <c r="Q15" s="18"/>
      <c r="R15" s="18"/>
      <c r="S15" s="18"/>
    </row>
    <row r="16" spans="1:19" x14ac:dyDescent="0.25">
      <c r="A16" s="21" t="s">
        <v>250</v>
      </c>
      <c r="B16" s="46">
        <v>345.38881865000002</v>
      </c>
      <c r="C16" s="232">
        <f t="shared" si="0"/>
        <v>3.4063559475984202</v>
      </c>
      <c r="D16" s="35">
        <v>265.41843740000002</v>
      </c>
      <c r="E16" s="232">
        <f t="shared" si="1"/>
        <v>2.4769882955886615</v>
      </c>
      <c r="F16" s="35">
        <v>120.84328350000003</v>
      </c>
      <c r="G16" s="532">
        <f t="shared" si="2"/>
        <v>1.0565485696594064</v>
      </c>
      <c r="H16" s="180">
        <f t="shared" si="5"/>
        <v>-54.470652195920124</v>
      </c>
      <c r="I16" s="180">
        <f t="shared" si="6"/>
        <v>-65.012392707924732</v>
      </c>
      <c r="K16" s="209"/>
      <c r="O16" s="18"/>
      <c r="P16" s="18"/>
      <c r="Q16" s="18"/>
      <c r="R16" s="18"/>
      <c r="S16" s="18"/>
    </row>
    <row r="17" spans="1:19" x14ac:dyDescent="0.25">
      <c r="A17" s="21" t="s">
        <v>255</v>
      </c>
      <c r="B17" s="46">
        <v>169.27994830000006</v>
      </c>
      <c r="C17" s="232">
        <f t="shared" si="0"/>
        <v>1.6695032599917035</v>
      </c>
      <c r="D17" s="35">
        <v>137.59943763000004</v>
      </c>
      <c r="E17" s="232">
        <f t="shared" si="1"/>
        <v>1.2841315766449166</v>
      </c>
      <c r="F17" s="35">
        <v>111.06889566999999</v>
      </c>
      <c r="G17" s="532">
        <f t="shared" si="2"/>
        <v>0.9710898235712726</v>
      </c>
      <c r="H17" s="180">
        <f t="shared" si="5"/>
        <v>-19.280995923355249</v>
      </c>
      <c r="I17" s="180">
        <f t="shared" si="6"/>
        <v>-34.387447074852432</v>
      </c>
      <c r="K17" s="233"/>
      <c r="O17" s="18"/>
      <c r="P17" s="18"/>
      <c r="Q17" s="18"/>
      <c r="R17" s="18"/>
      <c r="S17" s="18"/>
    </row>
    <row r="18" spans="1:19" x14ac:dyDescent="0.25">
      <c r="A18" s="21" t="s">
        <v>257</v>
      </c>
      <c r="B18" s="46">
        <v>42.586317389999977</v>
      </c>
      <c r="C18" s="232">
        <f t="shared" si="0"/>
        <v>0.4200024659013103</v>
      </c>
      <c r="D18" s="35">
        <v>143.33675339000007</v>
      </c>
      <c r="E18" s="232">
        <f t="shared" si="1"/>
        <v>1.3376744432401233</v>
      </c>
      <c r="F18" s="35">
        <v>98.366707640000001</v>
      </c>
      <c r="G18" s="532">
        <f t="shared" si="2"/>
        <v>0.86003293893571653</v>
      </c>
      <c r="H18" s="180">
        <f t="shared" si="5"/>
        <v>-31.373701919732067</v>
      </c>
      <c r="I18" s="180">
        <f t="shared" si="6"/>
        <v>130.98195305118884</v>
      </c>
      <c r="K18" s="233"/>
      <c r="O18" s="18"/>
      <c r="P18" s="18"/>
      <c r="Q18" s="18"/>
      <c r="R18" s="18"/>
      <c r="S18" s="18"/>
    </row>
    <row r="19" spans="1:19" x14ac:dyDescent="0.25">
      <c r="A19" s="21" t="s">
        <v>559</v>
      </c>
      <c r="B19" s="46"/>
      <c r="C19" s="232">
        <f t="shared" si="0"/>
        <v>0</v>
      </c>
      <c r="D19" s="35"/>
      <c r="E19" s="232">
        <f t="shared" si="1"/>
        <v>0</v>
      </c>
      <c r="F19" s="35">
        <v>84.147375749999995</v>
      </c>
      <c r="G19" s="532">
        <f t="shared" si="2"/>
        <v>0.73571146789680764</v>
      </c>
      <c r="H19" s="180" t="s">
        <v>240</v>
      </c>
      <c r="I19" s="180" t="s">
        <v>240</v>
      </c>
      <c r="K19" s="233"/>
      <c r="O19" s="18"/>
      <c r="P19" s="18"/>
      <c r="Q19" s="18"/>
      <c r="R19" s="18"/>
      <c r="S19" s="18"/>
    </row>
    <row r="20" spans="1:19" x14ac:dyDescent="0.25">
      <c r="A20" s="21" t="s">
        <v>613</v>
      </c>
      <c r="B20" s="46">
        <v>43.730935459999998</v>
      </c>
      <c r="C20" s="232">
        <f t="shared" si="0"/>
        <v>0.43129112482696069</v>
      </c>
      <c r="D20" s="35">
        <v>11.462008590000002</v>
      </c>
      <c r="E20" s="232">
        <f t="shared" si="1"/>
        <v>0.10696793108829711</v>
      </c>
      <c r="F20" s="35">
        <v>75.603443929999997</v>
      </c>
      <c r="G20" s="532">
        <f t="shared" si="2"/>
        <v>0.6610107589932096</v>
      </c>
      <c r="H20" s="180">
        <f t="shared" si="5"/>
        <v>559.60030771535116</v>
      </c>
      <c r="I20" s="180">
        <f t="shared" si="6"/>
        <v>72.88320758460172</v>
      </c>
      <c r="K20" s="233"/>
      <c r="O20" s="18"/>
      <c r="P20" s="18"/>
      <c r="Q20" s="18"/>
      <c r="R20" s="18"/>
      <c r="S20" s="18"/>
    </row>
    <row r="21" spans="1:19" x14ac:dyDescent="0.25">
      <c r="A21" s="21" t="s">
        <v>254</v>
      </c>
      <c r="B21" s="46">
        <v>36.270330209999962</v>
      </c>
      <c r="C21" s="232">
        <f t="shared" si="0"/>
        <v>0.35771179714242912</v>
      </c>
      <c r="D21" s="35">
        <v>41.426953979999993</v>
      </c>
      <c r="E21" s="232">
        <f t="shared" si="1"/>
        <v>0.38661247928193138</v>
      </c>
      <c r="F21" s="35">
        <v>70.514455439999978</v>
      </c>
      <c r="G21" s="532">
        <f t="shared" si="2"/>
        <v>0.61651706969253195</v>
      </c>
      <c r="H21" s="180">
        <f t="shared" si="5"/>
        <v>70.213951704107387</v>
      </c>
      <c r="I21" s="180">
        <f t="shared" si="6"/>
        <v>94.413602059125139</v>
      </c>
      <c r="K21" s="233"/>
      <c r="O21" s="18"/>
      <c r="P21" s="18"/>
      <c r="Q21" s="18"/>
      <c r="R21" s="18"/>
      <c r="S21" s="18"/>
    </row>
    <row r="22" spans="1:19" x14ac:dyDescent="0.25">
      <c r="A22" s="21" t="s">
        <v>253</v>
      </c>
      <c r="B22" s="46">
        <v>82.669103759999985</v>
      </c>
      <c r="C22" s="232">
        <f t="shared" si="0"/>
        <v>0.81531415630703097</v>
      </c>
      <c r="D22" s="35">
        <v>33.996150610000008</v>
      </c>
      <c r="E22" s="232">
        <f t="shared" si="1"/>
        <v>0.3172653263312421</v>
      </c>
      <c r="F22" s="35">
        <v>54.780342190000027</v>
      </c>
      <c r="G22" s="532">
        <f t="shared" si="2"/>
        <v>0.47895166789552973</v>
      </c>
      <c r="H22" s="180">
        <f t="shared" si="5"/>
        <v>61.136896992938738</v>
      </c>
      <c r="I22" s="180">
        <f t="shared" si="6"/>
        <v>-33.735410572449112</v>
      </c>
      <c r="K22" s="233"/>
      <c r="O22" s="18"/>
      <c r="P22" s="18"/>
      <c r="Q22" s="18"/>
      <c r="R22" s="18"/>
      <c r="S22" s="18"/>
    </row>
    <row r="23" spans="1:19" x14ac:dyDescent="0.25">
      <c r="A23" s="21" t="s">
        <v>258</v>
      </c>
      <c r="B23" s="46">
        <v>38.941020360000003</v>
      </c>
      <c r="C23" s="232">
        <f t="shared" si="0"/>
        <v>0.38405115958097963</v>
      </c>
      <c r="D23" s="35">
        <v>66.235029030000007</v>
      </c>
      <c r="E23" s="232">
        <f t="shared" si="1"/>
        <v>0.61813110374857938</v>
      </c>
      <c r="F23" s="35">
        <v>53.390624869999989</v>
      </c>
      <c r="G23" s="532">
        <f t="shared" si="2"/>
        <v>0.46680118833100392</v>
      </c>
      <c r="H23" s="180">
        <f t="shared" si="5"/>
        <v>-19.392162044923943</v>
      </c>
      <c r="I23" s="180">
        <f t="shared" si="6"/>
        <v>37.106383901646645</v>
      </c>
      <c r="K23" s="233"/>
      <c r="O23" s="18"/>
      <c r="P23" s="18"/>
      <c r="Q23" s="18"/>
      <c r="R23" s="18"/>
      <c r="S23" s="18"/>
    </row>
    <row r="24" spans="1:19" x14ac:dyDescent="0.25">
      <c r="A24" s="21" t="s">
        <v>614</v>
      </c>
      <c r="B24" s="46">
        <v>20.144191679999999</v>
      </c>
      <c r="C24" s="232">
        <f t="shared" si="0"/>
        <v>0.19866968307467128</v>
      </c>
      <c r="D24" s="35">
        <v>94.249510209999997</v>
      </c>
      <c r="E24" s="232">
        <f t="shared" si="1"/>
        <v>0.87957315980767659</v>
      </c>
      <c r="F24" s="35">
        <v>35.94751539</v>
      </c>
      <c r="G24" s="532">
        <f t="shared" si="2"/>
        <v>0.31429380986750483</v>
      </c>
      <c r="H24" s="180">
        <f t="shared" si="5"/>
        <v>-61.85920191001064</v>
      </c>
      <c r="I24" s="180">
        <f t="shared" si="6"/>
        <v>78.451019336209967</v>
      </c>
      <c r="K24" s="233"/>
      <c r="O24" s="18"/>
      <c r="P24" s="18"/>
      <c r="Q24" s="18"/>
      <c r="R24" s="18"/>
      <c r="S24" s="18"/>
    </row>
    <row r="25" spans="1:19" x14ac:dyDescent="0.25">
      <c r="A25" s="21" t="s">
        <v>522</v>
      </c>
      <c r="B25" s="46">
        <v>32.244080639999986</v>
      </c>
      <c r="C25" s="232">
        <f t="shared" si="0"/>
        <v>0.31800339192279475</v>
      </c>
      <c r="D25" s="35">
        <v>82.734235609999999</v>
      </c>
      <c r="E25" s="232">
        <f t="shared" si="1"/>
        <v>0.77210812955545127</v>
      </c>
      <c r="F25" s="35">
        <v>35.328110020000004</v>
      </c>
      <c r="G25" s="532">
        <f t="shared" si="2"/>
        <v>0.30887826802886514</v>
      </c>
      <c r="H25" s="180">
        <f t="shared" si="5"/>
        <v>-57.299285163480818</v>
      </c>
      <c r="I25" s="180">
        <f t="shared" si="6"/>
        <v>9.5646373498215596</v>
      </c>
      <c r="K25" s="233"/>
      <c r="O25" s="18"/>
      <c r="P25" s="18"/>
      <c r="Q25" s="18"/>
      <c r="R25" s="18"/>
      <c r="S25" s="18"/>
    </row>
    <row r="26" spans="1:19" x14ac:dyDescent="0.25">
      <c r="A26" s="21" t="s">
        <v>259</v>
      </c>
      <c r="B26" s="46">
        <v>30.652561189999997</v>
      </c>
      <c r="C26" s="232">
        <f t="shared" si="0"/>
        <v>0.30230722154468043</v>
      </c>
      <c r="D26" s="35">
        <v>7.5949383600000004</v>
      </c>
      <c r="E26" s="232">
        <f t="shared" si="1"/>
        <v>7.0878924643376501E-2</v>
      </c>
      <c r="F26" s="35">
        <v>31.61530372</v>
      </c>
      <c r="G26" s="532">
        <f t="shared" si="2"/>
        <v>0.27641671888792807</v>
      </c>
      <c r="H26" s="180">
        <f t="shared" si="5"/>
        <v>316.26807514998711</v>
      </c>
      <c r="I26" s="180">
        <f t="shared" si="6"/>
        <v>3.1408224716767963</v>
      </c>
      <c r="K26" s="233"/>
      <c r="O26" s="18"/>
      <c r="P26" s="18"/>
      <c r="Q26" s="18"/>
      <c r="R26" s="18"/>
      <c r="S26" s="18"/>
    </row>
    <row r="27" spans="1:19" x14ac:dyDescent="0.25">
      <c r="A27" s="21" t="s">
        <v>527</v>
      </c>
      <c r="B27" s="46">
        <v>22.59596998</v>
      </c>
      <c r="C27" s="232">
        <f t="shared" si="0"/>
        <v>0.22285005355406678</v>
      </c>
      <c r="D27" s="35">
        <v>10.85357011</v>
      </c>
      <c r="E27" s="232">
        <f t="shared" si="1"/>
        <v>0.10128974607481786</v>
      </c>
      <c r="F27" s="35">
        <v>28.840177149999999</v>
      </c>
      <c r="G27" s="532">
        <f t="shared" si="2"/>
        <v>0.25215342577609107</v>
      </c>
      <c r="H27" s="180">
        <f t="shared" si="5"/>
        <v>165.72065097205143</v>
      </c>
      <c r="I27" s="180">
        <f t="shared" si="6"/>
        <v>27.634162974755384</v>
      </c>
      <c r="K27" s="233"/>
      <c r="O27" s="18"/>
      <c r="P27" s="18"/>
      <c r="Q27" s="18"/>
      <c r="R27" s="18"/>
      <c r="S27" s="18"/>
    </row>
    <row r="28" spans="1:19" x14ac:dyDescent="0.25">
      <c r="A28" s="21" t="s">
        <v>236</v>
      </c>
      <c r="B28" s="46">
        <v>10.49206423</v>
      </c>
      <c r="C28" s="232">
        <f t="shared" si="0"/>
        <v>0.10347672959460219</v>
      </c>
      <c r="D28" s="35">
        <v>1.4314499000000001</v>
      </c>
      <c r="E28" s="232">
        <f t="shared" si="1"/>
        <v>1.3358848325514103E-2</v>
      </c>
      <c r="F28" s="35">
        <v>27.847888299999997</v>
      </c>
      <c r="G28" s="532">
        <f t="shared" si="2"/>
        <v>0.2434777150970075</v>
      </c>
      <c r="H28" s="180">
        <f t="shared" si="5"/>
        <v>1845.4322711538837</v>
      </c>
      <c r="I28" s="180">
        <f t="shared" si="6"/>
        <v>165.4185838890923</v>
      </c>
      <c r="K28" s="233"/>
      <c r="O28" s="18"/>
      <c r="P28" s="18"/>
      <c r="Q28" s="18"/>
      <c r="R28" s="18"/>
      <c r="S28" s="18"/>
    </row>
    <row r="29" spans="1:19" x14ac:dyDescent="0.25">
      <c r="A29" s="21" t="s">
        <v>262</v>
      </c>
      <c r="B29" s="46">
        <v>13.708978759999999</v>
      </c>
      <c r="C29" s="232">
        <f t="shared" si="0"/>
        <v>0.13520316470333546</v>
      </c>
      <c r="D29" s="35">
        <v>6.4945321200000006</v>
      </c>
      <c r="E29" s="232">
        <f t="shared" si="1"/>
        <v>6.0609504765943657E-2</v>
      </c>
      <c r="F29" s="35">
        <v>25.330110649999998</v>
      </c>
      <c r="G29" s="532">
        <f t="shared" si="2"/>
        <v>0.22146445711707249</v>
      </c>
      <c r="H29" s="180">
        <f t="shared" si="5"/>
        <v>290.02210139196285</v>
      </c>
      <c r="I29" s="180">
        <f t="shared" si="6"/>
        <v>84.770223175982224</v>
      </c>
      <c r="K29" s="233"/>
      <c r="O29" s="18"/>
      <c r="P29" s="18"/>
      <c r="Q29" s="18"/>
      <c r="R29" s="18"/>
      <c r="S29" s="18"/>
    </row>
    <row r="30" spans="1:19" x14ac:dyDescent="0.25">
      <c r="A30" s="21" t="s">
        <v>524</v>
      </c>
      <c r="B30" s="46">
        <v>3.1534009899999997</v>
      </c>
      <c r="C30" s="232">
        <f t="shared" si="0"/>
        <v>3.110004041078776E-2</v>
      </c>
      <c r="D30" s="35">
        <v>10.187698170000001</v>
      </c>
      <c r="E30" s="232">
        <f t="shared" si="1"/>
        <v>9.5075569629888973E-2</v>
      </c>
      <c r="F30" s="35">
        <v>21.760923640000005</v>
      </c>
      <c r="G30" s="532">
        <f t="shared" si="2"/>
        <v>0.19025859013761043</v>
      </c>
      <c r="H30" s="180">
        <f t="shared" si="5"/>
        <v>113.60000342452237</v>
      </c>
      <c r="I30" s="180">
        <f t="shared" si="6"/>
        <v>590.07790981888434</v>
      </c>
      <c r="K30" s="233"/>
      <c r="O30" s="18"/>
      <c r="P30" s="18"/>
      <c r="Q30" s="18"/>
      <c r="R30" s="18"/>
      <c r="S30" s="18"/>
    </row>
    <row r="31" spans="1:19" x14ac:dyDescent="0.25">
      <c r="A31" s="21" t="s">
        <v>261</v>
      </c>
      <c r="B31" s="46">
        <v>13.153521060000001</v>
      </c>
      <c r="C31" s="232">
        <f t="shared" si="0"/>
        <v>0.12972502951809753</v>
      </c>
      <c r="D31" s="35">
        <v>26.645497619999997</v>
      </c>
      <c r="E31" s="232">
        <f t="shared" si="1"/>
        <v>0.248666167962586</v>
      </c>
      <c r="F31" s="35">
        <v>18.0392437</v>
      </c>
      <c r="G31" s="532">
        <f t="shared" si="2"/>
        <v>0.1577194576062016</v>
      </c>
      <c r="H31" s="180">
        <f t="shared" si="5"/>
        <v>-32.299092487355828</v>
      </c>
      <c r="I31" s="180">
        <f t="shared" si="6"/>
        <v>37.143838655168416</v>
      </c>
      <c r="K31" s="233"/>
      <c r="O31" s="18"/>
      <c r="P31" s="18"/>
      <c r="Q31" s="18"/>
      <c r="R31" s="18"/>
      <c r="S31" s="18"/>
    </row>
    <row r="32" spans="1:19" x14ac:dyDescent="0.25">
      <c r="A32" s="21" t="s">
        <v>260</v>
      </c>
      <c r="B32" s="46">
        <v>6.1051213100000004</v>
      </c>
      <c r="C32" s="232">
        <f t="shared" si="0"/>
        <v>6.0211029315926465E-2</v>
      </c>
      <c r="D32" s="35">
        <v>17.124488150000001</v>
      </c>
      <c r="E32" s="232">
        <f t="shared" si="1"/>
        <v>0.15981239710025033</v>
      </c>
      <c r="F32" s="35">
        <v>17.835285050000003</v>
      </c>
      <c r="G32" s="532">
        <f t="shared" si="2"/>
        <v>0.15593622055995598</v>
      </c>
      <c r="H32" s="180">
        <f t="shared" si="5"/>
        <v>4.1507628944810415</v>
      </c>
      <c r="I32" s="180">
        <f t="shared" si="6"/>
        <v>192.13645633521409</v>
      </c>
      <c r="K32" s="233"/>
      <c r="O32" s="18"/>
      <c r="P32" s="18"/>
      <c r="Q32" s="18"/>
      <c r="R32" s="18"/>
      <c r="S32" s="18"/>
    </row>
    <row r="33" spans="1:19" x14ac:dyDescent="0.25">
      <c r="A33" s="21" t="s">
        <v>263</v>
      </c>
      <c r="B33" s="46">
        <v>33.77770370999999</v>
      </c>
      <c r="C33" s="232">
        <f t="shared" si="0"/>
        <v>0.33312856617217451</v>
      </c>
      <c r="D33" s="35">
        <v>39.518734569999971</v>
      </c>
      <c r="E33" s="232">
        <f t="shared" si="1"/>
        <v>0.36880423208446234</v>
      </c>
      <c r="F33" s="35">
        <v>17.076272739999997</v>
      </c>
      <c r="G33" s="532">
        <f t="shared" si="2"/>
        <v>0.14930007705857232</v>
      </c>
      <c r="H33" s="180">
        <f t="shared" si="5"/>
        <v>-56.789424241931115</v>
      </c>
      <c r="I33" s="180">
        <f t="shared" si="6"/>
        <v>-49.445134321121678</v>
      </c>
      <c r="K33" s="233"/>
      <c r="O33" s="18"/>
      <c r="P33" s="18"/>
      <c r="Q33" s="18"/>
      <c r="R33" s="18"/>
      <c r="S33" s="18"/>
    </row>
    <row r="34" spans="1:19" x14ac:dyDescent="0.25">
      <c r="A34" s="21" t="s">
        <v>264</v>
      </c>
      <c r="B34" s="46">
        <v>8.9757860799999989</v>
      </c>
      <c r="C34" s="232">
        <f t="shared" si="0"/>
        <v>8.8522617545885363E-2</v>
      </c>
      <c r="D34" s="35">
        <v>23.815209139999997</v>
      </c>
      <c r="E34" s="232">
        <f t="shared" si="1"/>
        <v>0.22225281285894613</v>
      </c>
      <c r="F34" s="35">
        <v>16.140617480000003</v>
      </c>
      <c r="G34" s="532">
        <f t="shared" si="2"/>
        <v>0.14111952123440613</v>
      </c>
      <c r="H34" s="180">
        <f t="shared" si="5"/>
        <v>-32.225590020579574</v>
      </c>
      <c r="I34" s="180">
        <f t="shared" si="6"/>
        <v>79.823999103151593</v>
      </c>
      <c r="K34" s="233"/>
      <c r="O34" s="18"/>
      <c r="P34" s="18"/>
      <c r="Q34" s="18"/>
      <c r="R34" s="18"/>
      <c r="S34" s="18"/>
    </row>
    <row r="35" spans="1:19" x14ac:dyDescent="0.25">
      <c r="A35" s="21" t="s">
        <v>616</v>
      </c>
      <c r="B35" s="46">
        <v>1493.9457605400003</v>
      </c>
      <c r="C35" s="232">
        <f t="shared" si="0"/>
        <v>14.733861526541562</v>
      </c>
      <c r="D35" s="35">
        <v>82.615551800000034</v>
      </c>
      <c r="E35" s="232">
        <f t="shared" si="1"/>
        <v>0.77100052598756974</v>
      </c>
      <c r="F35" s="35">
        <v>15.435508920000004</v>
      </c>
      <c r="G35" s="532">
        <f t="shared" si="2"/>
        <v>0.13495466524120892</v>
      </c>
      <c r="H35" s="180">
        <f t="shared" si="5"/>
        <v>-81.316460903914219</v>
      </c>
      <c r="I35" s="180">
        <f t="shared" si="6"/>
        <v>-98.966795895292705</v>
      </c>
      <c r="K35" s="233"/>
      <c r="O35" s="18"/>
      <c r="P35" s="18"/>
      <c r="Q35" s="18"/>
      <c r="R35" s="18"/>
      <c r="S35" s="18"/>
    </row>
    <row r="36" spans="1:19" x14ac:dyDescent="0.25">
      <c r="A36" s="21" t="s">
        <v>612</v>
      </c>
      <c r="B36" s="46">
        <v>2.9881053900000003</v>
      </c>
      <c r="C36" s="232">
        <f t="shared" ref="C36:C67" si="7">(B36/$B$142)*100</f>
        <v>2.9469832309747816E-2</v>
      </c>
      <c r="D36" s="35">
        <v>141.55723550999988</v>
      </c>
      <c r="E36" s="232">
        <f t="shared" ref="E36:E67" si="8">(D36/$D$142)*100</f>
        <v>1.3210672888776391</v>
      </c>
      <c r="F36" s="35">
        <v>14.774829820000001</v>
      </c>
      <c r="G36" s="532">
        <f t="shared" ref="G36:G67" si="9">(F36/$F$142)*100</f>
        <v>0.12917826180453082</v>
      </c>
      <c r="H36" s="180">
        <f t="shared" si="5"/>
        <v>-89.562645973715505</v>
      </c>
      <c r="I36" s="180">
        <f t="shared" si="6"/>
        <v>394.45477624201197</v>
      </c>
      <c r="K36" s="233"/>
      <c r="O36" s="18"/>
      <c r="P36" s="18"/>
      <c r="Q36" s="18"/>
      <c r="R36" s="18"/>
      <c r="S36" s="18"/>
    </row>
    <row r="37" spans="1:19" x14ac:dyDescent="0.25">
      <c r="A37" s="21" t="s">
        <v>610</v>
      </c>
      <c r="B37" s="46">
        <v>62.429998110000028</v>
      </c>
      <c r="C37" s="232">
        <f t="shared" si="7"/>
        <v>0.61570839554610679</v>
      </c>
      <c r="D37" s="35">
        <v>2.91118583</v>
      </c>
      <c r="E37" s="232">
        <f t="shared" si="8"/>
        <v>2.7168320700819416E-2</v>
      </c>
      <c r="F37" s="35">
        <v>13.225947320000001</v>
      </c>
      <c r="G37" s="532">
        <f t="shared" si="9"/>
        <v>0.11563618033712776</v>
      </c>
      <c r="H37" s="180">
        <f t="shared" si="5"/>
        <v>354.31477385282551</v>
      </c>
      <c r="I37" s="180">
        <f t="shared" si="6"/>
        <v>-78.814756174273427</v>
      </c>
      <c r="K37" s="233"/>
      <c r="O37" s="18"/>
      <c r="P37" s="18"/>
      <c r="Q37" s="18"/>
      <c r="R37" s="18"/>
      <c r="S37" s="18"/>
    </row>
    <row r="38" spans="1:19" x14ac:dyDescent="0.25">
      <c r="A38" s="21" t="s">
        <v>674</v>
      </c>
      <c r="B38" s="46"/>
      <c r="C38" s="232">
        <f t="shared" si="7"/>
        <v>0</v>
      </c>
      <c r="D38" s="35"/>
      <c r="E38" s="232">
        <f t="shared" si="8"/>
        <v>0</v>
      </c>
      <c r="F38" s="35">
        <v>12.538226009999999</v>
      </c>
      <c r="G38" s="532">
        <f t="shared" si="9"/>
        <v>0.1096233433356837</v>
      </c>
      <c r="H38" s="180" t="s">
        <v>240</v>
      </c>
      <c r="I38" s="180" t="s">
        <v>240</v>
      </c>
      <c r="K38" s="233"/>
      <c r="O38" s="18"/>
      <c r="P38" s="18"/>
      <c r="Q38" s="18"/>
      <c r="R38" s="18"/>
      <c r="S38" s="18"/>
    </row>
    <row r="39" spans="1:19" x14ac:dyDescent="0.25">
      <c r="A39" s="21" t="s">
        <v>269</v>
      </c>
      <c r="B39" s="46">
        <v>2.3657178400000003</v>
      </c>
      <c r="C39" s="232">
        <f t="shared" si="7"/>
        <v>2.3331609477461844E-2</v>
      </c>
      <c r="D39" s="35">
        <v>3.8209831199999997</v>
      </c>
      <c r="E39" s="232">
        <f t="shared" si="8"/>
        <v>3.5658903573523353E-2</v>
      </c>
      <c r="F39" s="35">
        <v>11.631910590000002</v>
      </c>
      <c r="G39" s="532">
        <f t="shared" si="9"/>
        <v>0.10169930955468121</v>
      </c>
      <c r="H39" s="180">
        <f t="shared" si="5"/>
        <v>204.42193081449687</v>
      </c>
      <c r="I39" s="180">
        <f t="shared" si="6"/>
        <v>391.68630313072333</v>
      </c>
      <c r="K39" s="233"/>
      <c r="O39" s="18"/>
      <c r="P39" s="18"/>
      <c r="Q39" s="18"/>
      <c r="R39" s="18"/>
      <c r="S39" s="18"/>
    </row>
    <row r="40" spans="1:19" x14ac:dyDescent="0.25">
      <c r="A40" s="21" t="s">
        <v>295</v>
      </c>
      <c r="B40" s="46">
        <v>6.8169595300000001</v>
      </c>
      <c r="C40" s="232">
        <f t="shared" si="7"/>
        <v>6.7231448691117704E-2</v>
      </c>
      <c r="D40" s="35">
        <v>2.8672652300000001</v>
      </c>
      <c r="E40" s="232">
        <f t="shared" si="8"/>
        <v>2.6758436545065468E-2</v>
      </c>
      <c r="F40" s="35">
        <v>8.6732235000000006</v>
      </c>
      <c r="G40" s="532">
        <f t="shared" si="9"/>
        <v>7.5831122904413198E-2</v>
      </c>
      <c r="H40" s="180">
        <f t="shared" si="5"/>
        <v>202.49114763617456</v>
      </c>
      <c r="I40" s="180">
        <f t="shared" si="6"/>
        <v>27.230086401877184</v>
      </c>
      <c r="K40" s="233"/>
      <c r="O40" s="18"/>
      <c r="P40" s="18"/>
      <c r="Q40" s="18"/>
      <c r="R40" s="18"/>
      <c r="S40" s="18"/>
    </row>
    <row r="41" spans="1:19" x14ac:dyDescent="0.25">
      <c r="A41" s="21" t="s">
        <v>252</v>
      </c>
      <c r="B41" s="46">
        <v>1.1992375900000001</v>
      </c>
      <c r="C41" s="232">
        <f t="shared" si="7"/>
        <v>1.1827337414242307E-2</v>
      </c>
      <c r="D41" s="35">
        <v>20.902677410000003</v>
      </c>
      <c r="E41" s="232">
        <f t="shared" si="8"/>
        <v>0.19507193169480819</v>
      </c>
      <c r="F41" s="35">
        <v>8.4358219099999996</v>
      </c>
      <c r="G41" s="532">
        <f t="shared" si="9"/>
        <v>7.3755489877200986E-2</v>
      </c>
      <c r="H41" s="180">
        <f t="shared" si="5"/>
        <v>-59.642385783726269</v>
      </c>
      <c r="I41" s="180">
        <f t="shared" si="6"/>
        <v>603.43207887604649</v>
      </c>
      <c r="K41" s="233"/>
      <c r="O41" s="18"/>
      <c r="P41" s="18"/>
      <c r="Q41" s="18"/>
      <c r="R41" s="18"/>
      <c r="S41" s="18"/>
    </row>
    <row r="42" spans="1:19" x14ac:dyDescent="0.25">
      <c r="A42" s="21" t="s">
        <v>272</v>
      </c>
      <c r="B42" s="46">
        <v>0.3853396</v>
      </c>
      <c r="C42" s="232">
        <f t="shared" si="7"/>
        <v>3.8003657542698983E-3</v>
      </c>
      <c r="D42" s="35">
        <v>3.6107121599999998</v>
      </c>
      <c r="E42" s="232">
        <f t="shared" si="8"/>
        <v>3.3696573028877512E-2</v>
      </c>
      <c r="F42" s="35">
        <v>7.2557254300000009</v>
      </c>
      <c r="G42" s="532">
        <f t="shared" si="9"/>
        <v>6.3437752623693638E-2</v>
      </c>
      <c r="H42" s="180">
        <f t="shared" si="5"/>
        <v>100.94998184513275</v>
      </c>
      <c r="I42" s="180">
        <f t="shared" si="6"/>
        <v>1782.9431052505377</v>
      </c>
      <c r="K42" s="233"/>
      <c r="O42" s="18"/>
      <c r="P42" s="18"/>
      <c r="Q42" s="18"/>
      <c r="R42" s="18"/>
      <c r="S42" s="18"/>
    </row>
    <row r="43" spans="1:19" x14ac:dyDescent="0.25">
      <c r="A43" s="21" t="s">
        <v>543</v>
      </c>
      <c r="B43" s="46">
        <v>4.5614102700000005</v>
      </c>
      <c r="C43" s="232">
        <f t="shared" si="7"/>
        <v>4.4986363668003522E-2</v>
      </c>
      <c r="D43" s="35">
        <v>7.5714559499999998</v>
      </c>
      <c r="E43" s="232">
        <f t="shared" si="8"/>
        <v>7.0659777641789129E-2</v>
      </c>
      <c r="F43" s="35">
        <v>6.2184980700000017</v>
      </c>
      <c r="G43" s="532">
        <f t="shared" si="9"/>
        <v>5.4369138697627981E-2</v>
      </c>
      <c r="H43" s="180">
        <f t="shared" si="5"/>
        <v>-17.869190403201095</v>
      </c>
      <c r="I43" s="180">
        <f t="shared" si="6"/>
        <v>36.328409459208785</v>
      </c>
      <c r="K43" s="233"/>
      <c r="O43" s="18"/>
      <c r="P43" s="18"/>
      <c r="Q43" s="18"/>
      <c r="R43" s="18"/>
      <c r="S43" s="18"/>
    </row>
    <row r="44" spans="1:19" x14ac:dyDescent="0.25">
      <c r="A44" s="21" t="s">
        <v>315</v>
      </c>
      <c r="B44" s="46"/>
      <c r="C44" s="232">
        <f t="shared" si="7"/>
        <v>0</v>
      </c>
      <c r="D44" s="35"/>
      <c r="E44" s="232">
        <f t="shared" si="8"/>
        <v>0</v>
      </c>
      <c r="F44" s="35">
        <v>5.9956878900000001</v>
      </c>
      <c r="G44" s="532">
        <f t="shared" si="9"/>
        <v>5.2421080268840285E-2</v>
      </c>
      <c r="H44" s="180" t="s">
        <v>240</v>
      </c>
      <c r="I44" s="180" t="s">
        <v>240</v>
      </c>
      <c r="K44" s="233"/>
      <c r="O44" s="18"/>
      <c r="P44" s="18"/>
      <c r="Q44" s="18"/>
      <c r="R44" s="18"/>
      <c r="S44" s="18"/>
    </row>
    <row r="45" spans="1:19" x14ac:dyDescent="0.25">
      <c r="A45" s="21" t="s">
        <v>665</v>
      </c>
      <c r="B45" s="46"/>
      <c r="C45" s="232">
        <f t="shared" si="7"/>
        <v>0</v>
      </c>
      <c r="D45" s="35"/>
      <c r="E45" s="232">
        <f t="shared" si="8"/>
        <v>0</v>
      </c>
      <c r="F45" s="35">
        <v>5.6680405399999971</v>
      </c>
      <c r="G45" s="532">
        <f t="shared" si="9"/>
        <v>4.9556416805808856E-2</v>
      </c>
      <c r="H45" s="180" t="s">
        <v>240</v>
      </c>
      <c r="I45" s="180" t="s">
        <v>240</v>
      </c>
      <c r="K45" s="233"/>
      <c r="O45" s="18"/>
      <c r="P45" s="18"/>
      <c r="Q45" s="18"/>
      <c r="R45" s="18"/>
      <c r="S45" s="18"/>
    </row>
    <row r="46" spans="1:19" x14ac:dyDescent="0.25">
      <c r="A46" s="21" t="s">
        <v>529</v>
      </c>
      <c r="B46" s="46">
        <v>1.7274221299999997</v>
      </c>
      <c r="C46" s="232">
        <f t="shared" si="7"/>
        <v>1.7036494318310298E-2</v>
      </c>
      <c r="D46" s="35">
        <v>17.075578000000004</v>
      </c>
      <c r="E46" s="232">
        <f t="shared" si="8"/>
        <v>0.15935594851938967</v>
      </c>
      <c r="F46" s="35">
        <v>5.0335480000000006</v>
      </c>
      <c r="G46" s="532">
        <f t="shared" si="9"/>
        <v>4.4008965874482914E-2</v>
      </c>
      <c r="H46" s="180">
        <f t="shared" si="5"/>
        <v>-70.521946607019686</v>
      </c>
      <c r="I46" s="180">
        <f t="shared" si="6"/>
        <v>191.39073261727876</v>
      </c>
      <c r="K46" s="233"/>
      <c r="O46" s="18"/>
      <c r="P46" s="18"/>
      <c r="Q46" s="18"/>
      <c r="R46" s="18"/>
      <c r="S46" s="18"/>
    </row>
    <row r="47" spans="1:19" x14ac:dyDescent="0.25">
      <c r="A47" s="21" t="s">
        <v>534</v>
      </c>
      <c r="B47" s="46">
        <v>6.4035485599999999</v>
      </c>
      <c r="C47" s="232">
        <f t="shared" si="7"/>
        <v>6.3154232404944416E-2</v>
      </c>
      <c r="D47" s="35">
        <v>17.14840238</v>
      </c>
      <c r="E47" s="232">
        <f t="shared" si="8"/>
        <v>0.1600355740143648</v>
      </c>
      <c r="F47" s="35">
        <v>4.8544615100000001</v>
      </c>
      <c r="G47" s="532">
        <f t="shared" si="9"/>
        <v>4.244318936316506E-2</v>
      </c>
      <c r="H47" s="180">
        <f t="shared" si="5"/>
        <v>-71.691464881523274</v>
      </c>
      <c r="I47" s="180">
        <f t="shared" si="6"/>
        <v>-24.191072113928026</v>
      </c>
      <c r="K47" s="233"/>
      <c r="O47" s="18"/>
      <c r="P47" s="18"/>
      <c r="Q47" s="18"/>
      <c r="R47" s="18"/>
      <c r="S47" s="18"/>
    </row>
    <row r="48" spans="1:19" x14ac:dyDescent="0.25">
      <c r="A48" s="21" t="s">
        <v>546</v>
      </c>
      <c r="B48" s="46">
        <v>6.0300000000000006E-2</v>
      </c>
      <c r="C48" s="232">
        <f t="shared" si="7"/>
        <v>5.9470154373564223E-4</v>
      </c>
      <c r="D48" s="35">
        <v>4.4892983000000006</v>
      </c>
      <c r="E48" s="232">
        <f t="shared" si="8"/>
        <v>4.1895881286301617E-2</v>
      </c>
      <c r="F48" s="35">
        <v>4.7430597499999996</v>
      </c>
      <c r="G48" s="532">
        <f t="shared" si="9"/>
        <v>4.1469189263395011E-2</v>
      </c>
      <c r="H48" s="180">
        <f t="shared" si="5"/>
        <v>5.6525860622805846</v>
      </c>
      <c r="I48" s="180">
        <f t="shared" si="6"/>
        <v>7765.7707296849067</v>
      </c>
      <c r="K48" s="233"/>
      <c r="O48" s="18"/>
      <c r="P48" s="18"/>
      <c r="Q48" s="18"/>
      <c r="R48" s="18"/>
      <c r="S48" s="18"/>
    </row>
    <row r="49" spans="1:19" x14ac:dyDescent="0.25">
      <c r="A49" s="21" t="s">
        <v>553</v>
      </c>
      <c r="B49" s="46">
        <v>2.0558148999999997</v>
      </c>
      <c r="C49" s="232">
        <f t="shared" si="7"/>
        <v>2.0275228767242699E-2</v>
      </c>
      <c r="D49" s="35">
        <v>5.0161581200000009</v>
      </c>
      <c r="E49" s="232">
        <f t="shared" si="8"/>
        <v>4.6812742452164047E-2</v>
      </c>
      <c r="F49" s="35">
        <v>4.6172517500000012</v>
      </c>
      <c r="G49" s="532">
        <f t="shared" si="9"/>
        <v>4.0369233530632181E-2</v>
      </c>
      <c r="H49" s="180">
        <f t="shared" si="5"/>
        <v>-7.9524281423568821</v>
      </c>
      <c r="I49" s="180">
        <f t="shared" si="6"/>
        <v>124.59472153840321</v>
      </c>
      <c r="K49" s="233"/>
      <c r="O49" s="18"/>
      <c r="P49" s="18"/>
      <c r="Q49" s="18"/>
      <c r="R49" s="18"/>
      <c r="S49" s="18"/>
    </row>
    <row r="50" spans="1:19" x14ac:dyDescent="0.25">
      <c r="A50" s="21" t="s">
        <v>267</v>
      </c>
      <c r="B50" s="46">
        <v>2.71739548</v>
      </c>
      <c r="C50" s="232">
        <f t="shared" si="7"/>
        <v>2.6799988174067264E-2</v>
      </c>
      <c r="D50" s="35">
        <v>1.7357277499999999</v>
      </c>
      <c r="E50" s="232">
        <f t="shared" si="8"/>
        <v>1.6198487803614964E-2</v>
      </c>
      <c r="F50" s="35">
        <v>2.6400314300000001</v>
      </c>
      <c r="G50" s="532">
        <f t="shared" si="9"/>
        <v>2.3082138704236522E-2</v>
      </c>
      <c r="H50" s="180">
        <f t="shared" si="5"/>
        <v>52.099396348304047</v>
      </c>
      <c r="I50" s="180">
        <f t="shared" si="6"/>
        <v>-2.84699266519719</v>
      </c>
      <c r="K50" s="233"/>
      <c r="O50" s="18"/>
      <c r="P50" s="18"/>
      <c r="Q50" s="18"/>
      <c r="R50" s="18"/>
      <c r="S50" s="18"/>
    </row>
    <row r="51" spans="1:19" x14ac:dyDescent="0.25">
      <c r="A51" s="21" t="s">
        <v>294</v>
      </c>
      <c r="B51" s="46">
        <v>1.07032795</v>
      </c>
      <c r="C51" s="232">
        <f t="shared" si="7"/>
        <v>1.0555981495330104E-2</v>
      </c>
      <c r="D51" s="35">
        <v>2.02953904</v>
      </c>
      <c r="E51" s="232">
        <f t="shared" si="8"/>
        <v>1.8940449264811504E-2</v>
      </c>
      <c r="F51" s="35">
        <v>1.9842486499999998</v>
      </c>
      <c r="G51" s="532">
        <f t="shared" si="9"/>
        <v>1.7348544431152496E-2</v>
      </c>
      <c r="H51" s="180">
        <f t="shared" si="5"/>
        <v>-2.2315604236910924</v>
      </c>
      <c r="I51" s="180">
        <f t="shared" si="6"/>
        <v>85.386978822705672</v>
      </c>
      <c r="K51" s="233"/>
      <c r="O51" s="18"/>
      <c r="P51" s="18"/>
      <c r="Q51" s="18"/>
      <c r="R51" s="18"/>
      <c r="S51" s="18"/>
    </row>
    <row r="52" spans="1:19" x14ac:dyDescent="0.25">
      <c r="A52" s="21" t="s">
        <v>270</v>
      </c>
      <c r="B52" s="46">
        <v>4.2228678999999998</v>
      </c>
      <c r="C52" s="232">
        <f t="shared" si="7"/>
        <v>4.1647530002018068E-2</v>
      </c>
      <c r="D52" s="35">
        <v>1.3400147899999999</v>
      </c>
      <c r="E52" s="232">
        <f t="shared" si="8"/>
        <v>1.2505540245282514E-2</v>
      </c>
      <c r="F52" s="35">
        <v>1.8401056099999999</v>
      </c>
      <c r="G52" s="532">
        <f t="shared" si="9"/>
        <v>1.6088283055199742E-2</v>
      </c>
      <c r="H52" s="180">
        <f t="shared" si="5"/>
        <v>37.31979853744749</v>
      </c>
      <c r="I52" s="180">
        <f t="shared" si="6"/>
        <v>-56.425214958772443</v>
      </c>
      <c r="K52" s="233"/>
      <c r="O52" s="18"/>
      <c r="P52" s="18"/>
      <c r="Q52" s="18"/>
      <c r="R52" s="18"/>
      <c r="S52" s="18"/>
    </row>
    <row r="53" spans="1:19" x14ac:dyDescent="0.25">
      <c r="A53" s="21" t="s">
        <v>607</v>
      </c>
      <c r="B53" s="46">
        <v>1.1262030000000001</v>
      </c>
      <c r="C53" s="232">
        <f t="shared" si="7"/>
        <v>1.1107042498502678E-2</v>
      </c>
      <c r="D53" s="35"/>
      <c r="E53" s="232">
        <f t="shared" si="8"/>
        <v>0</v>
      </c>
      <c r="F53" s="35">
        <v>1.79150269</v>
      </c>
      <c r="G53" s="532">
        <f t="shared" si="9"/>
        <v>1.5663341394232127E-2</v>
      </c>
      <c r="H53" s="180" t="s">
        <v>240</v>
      </c>
      <c r="I53" s="180">
        <f t="shared" si="6"/>
        <v>59.074579804884173</v>
      </c>
      <c r="K53" s="233"/>
      <c r="O53" s="18"/>
      <c r="P53" s="18"/>
      <c r="Q53" s="18"/>
      <c r="R53" s="18"/>
      <c r="S53" s="18"/>
    </row>
    <row r="54" spans="1:19" x14ac:dyDescent="0.25">
      <c r="A54" s="21" t="s">
        <v>273</v>
      </c>
      <c r="B54" s="46">
        <v>44.226282159999997</v>
      </c>
      <c r="C54" s="232">
        <f t="shared" si="7"/>
        <v>0.43617642245837629</v>
      </c>
      <c r="D54" s="35">
        <v>5.7976623499999995</v>
      </c>
      <c r="E54" s="232">
        <f t="shared" si="8"/>
        <v>5.4106044491109083E-2</v>
      </c>
      <c r="F54" s="35">
        <v>1.7763627300000002</v>
      </c>
      <c r="G54" s="532">
        <f t="shared" si="9"/>
        <v>1.5530970751699062E-2</v>
      </c>
      <c r="H54" s="180">
        <f t="shared" si="5"/>
        <v>-69.360707423742937</v>
      </c>
      <c r="I54" s="180">
        <f t="shared" si="6"/>
        <v>-95.98346810257857</v>
      </c>
      <c r="K54" s="233"/>
      <c r="O54" s="18"/>
      <c r="P54" s="18"/>
      <c r="Q54" s="18"/>
      <c r="R54" s="18"/>
      <c r="S54" s="18"/>
    </row>
    <row r="55" spans="1:19" x14ac:dyDescent="0.25">
      <c r="A55" s="21" t="s">
        <v>611</v>
      </c>
      <c r="B55" s="46">
        <v>1.2774466699999996</v>
      </c>
      <c r="C55" s="232">
        <f t="shared" si="7"/>
        <v>1.259866511921982E-2</v>
      </c>
      <c r="D55" s="35">
        <v>0.18768478999999999</v>
      </c>
      <c r="E55" s="232">
        <f t="shared" si="8"/>
        <v>1.7515476040174131E-3</v>
      </c>
      <c r="F55" s="35">
        <v>1.6141542400000002</v>
      </c>
      <c r="G55" s="532">
        <f t="shared" si="9"/>
        <v>1.4112760793045366E-2</v>
      </c>
      <c r="H55" s="180">
        <f t="shared" si="5"/>
        <v>760.03465704386622</v>
      </c>
      <c r="I55" s="180">
        <f t="shared" si="6"/>
        <v>26.357857271646481</v>
      </c>
      <c r="K55" s="233"/>
      <c r="O55" s="18"/>
      <c r="P55" s="18"/>
      <c r="Q55" s="18"/>
      <c r="R55" s="18"/>
      <c r="S55" s="18"/>
    </row>
    <row r="56" spans="1:19" x14ac:dyDescent="0.25">
      <c r="A56" s="21" t="s">
        <v>265</v>
      </c>
      <c r="B56" s="46">
        <v>3.4774530900000009</v>
      </c>
      <c r="C56" s="232">
        <f t="shared" si="7"/>
        <v>3.4295965520585066E-2</v>
      </c>
      <c r="D56" s="35">
        <v>2.6935560000000001</v>
      </c>
      <c r="E56" s="232">
        <f t="shared" si="8"/>
        <v>2.5137314313465293E-2</v>
      </c>
      <c r="F56" s="35">
        <v>1.5338420000000004</v>
      </c>
      <c r="G56" s="532">
        <f t="shared" si="9"/>
        <v>1.3410580416606463E-2</v>
      </c>
      <c r="H56" s="180">
        <f t="shared" si="5"/>
        <v>-43.055128610654457</v>
      </c>
      <c r="I56" s="180">
        <f t="shared" si="6"/>
        <v>-55.891798960255713</v>
      </c>
      <c r="K56" s="233"/>
      <c r="O56" s="18"/>
      <c r="P56" s="18"/>
      <c r="Q56" s="18"/>
      <c r="R56" s="18"/>
      <c r="S56" s="18"/>
    </row>
    <row r="57" spans="1:19" x14ac:dyDescent="0.25">
      <c r="A57" s="21" t="s">
        <v>438</v>
      </c>
      <c r="B57" s="46">
        <v>4.1260000000000003E-3</v>
      </c>
      <c r="C57" s="232">
        <f t="shared" si="7"/>
        <v>4.0692181914647757E-5</v>
      </c>
      <c r="D57" s="35"/>
      <c r="E57" s="232">
        <f t="shared" si="8"/>
        <v>0</v>
      </c>
      <c r="F57" s="35">
        <v>1.5077424399999999</v>
      </c>
      <c r="G57" s="532">
        <f t="shared" si="9"/>
        <v>1.3182388563587671E-2</v>
      </c>
      <c r="H57" s="180" t="s">
        <v>240</v>
      </c>
      <c r="I57" s="180">
        <f t="shared" si="6"/>
        <v>36442.47309743092</v>
      </c>
      <c r="K57" s="233"/>
      <c r="O57" s="18"/>
      <c r="P57" s="18"/>
      <c r="Q57" s="18"/>
      <c r="R57" s="18"/>
      <c r="S57" s="18"/>
    </row>
    <row r="58" spans="1:19" x14ac:dyDescent="0.25">
      <c r="A58" s="21" t="s">
        <v>311</v>
      </c>
      <c r="B58" s="46">
        <v>0.21948503999999999</v>
      </c>
      <c r="C58" s="232">
        <f t="shared" si="7"/>
        <v>2.1646449770295053E-3</v>
      </c>
      <c r="D58" s="35">
        <v>0.67891924000000003</v>
      </c>
      <c r="E58" s="232">
        <f t="shared" si="8"/>
        <v>6.3359389332685043E-3</v>
      </c>
      <c r="F58" s="35">
        <v>1.19815235</v>
      </c>
      <c r="G58" s="532">
        <f t="shared" si="9"/>
        <v>1.0475602077020325E-2</v>
      </c>
      <c r="H58" s="180">
        <f t="shared" si="5"/>
        <v>76.479362994632453</v>
      </c>
      <c r="I58" s="180">
        <f t="shared" si="6"/>
        <v>445.8924899847388</v>
      </c>
      <c r="K58" s="233"/>
      <c r="O58" s="18"/>
      <c r="P58" s="18"/>
      <c r="Q58" s="18"/>
      <c r="R58" s="18"/>
      <c r="S58" s="18"/>
    </row>
    <row r="59" spans="1:19" x14ac:dyDescent="0.25">
      <c r="A59" s="21" t="s">
        <v>544</v>
      </c>
      <c r="B59" s="46">
        <v>107.11664057000002</v>
      </c>
      <c r="C59" s="232">
        <f t="shared" si="7"/>
        <v>1.0564250664470136</v>
      </c>
      <c r="D59" s="35">
        <v>40.832408850000007</v>
      </c>
      <c r="E59" s="232">
        <f t="shared" si="8"/>
        <v>0.38106395242511099</v>
      </c>
      <c r="F59" s="35">
        <v>1.0597504999999998</v>
      </c>
      <c r="G59" s="532">
        <f t="shared" si="9"/>
        <v>9.2655366731311979E-3</v>
      </c>
      <c r="H59" s="180">
        <f t="shared" si="5"/>
        <v>-97.404633892913225</v>
      </c>
      <c r="I59" s="180">
        <f t="shared" si="6"/>
        <v>-99.010657453071019</v>
      </c>
      <c r="K59" s="233"/>
      <c r="O59" s="18"/>
      <c r="P59" s="18"/>
      <c r="Q59" s="18"/>
      <c r="R59" s="18"/>
      <c r="S59" s="18"/>
    </row>
    <row r="60" spans="1:19" x14ac:dyDescent="0.25">
      <c r="A60" s="21" t="s">
        <v>558</v>
      </c>
      <c r="B60" s="46">
        <v>2.9557491100000002</v>
      </c>
      <c r="C60" s="232">
        <f t="shared" si="7"/>
        <v>2.9150722365045609E-2</v>
      </c>
      <c r="D60" s="35">
        <v>0.65702190999999965</v>
      </c>
      <c r="E60" s="232">
        <f t="shared" si="8"/>
        <v>6.1315845159719343E-3</v>
      </c>
      <c r="F60" s="35">
        <v>1.0519872100000001</v>
      </c>
      <c r="G60" s="532">
        <f t="shared" si="9"/>
        <v>9.1976612173525502E-3</v>
      </c>
      <c r="H60" s="180">
        <f t="shared" si="5"/>
        <v>60.114479287304221</v>
      </c>
      <c r="I60" s="180">
        <f t="shared" si="6"/>
        <v>-64.408778592172183</v>
      </c>
      <c r="K60" s="233"/>
      <c r="O60" s="18"/>
      <c r="P60" s="18"/>
      <c r="Q60" s="18"/>
      <c r="R60" s="18"/>
      <c r="S60" s="18"/>
    </row>
    <row r="61" spans="1:19" x14ac:dyDescent="0.25">
      <c r="A61" s="21" t="s">
        <v>572</v>
      </c>
      <c r="B61" s="46"/>
      <c r="C61" s="232">
        <f t="shared" si="7"/>
        <v>0</v>
      </c>
      <c r="D61" s="35">
        <v>1.4913893299999998</v>
      </c>
      <c r="E61" s="232">
        <f t="shared" si="8"/>
        <v>1.3918226445619995E-2</v>
      </c>
      <c r="F61" s="35">
        <v>1.0420899100000001</v>
      </c>
      <c r="G61" s="532">
        <f t="shared" si="9"/>
        <v>9.1111278341505769E-3</v>
      </c>
      <c r="H61" s="180">
        <f t="shared" si="5"/>
        <v>-30.126232698741372</v>
      </c>
      <c r="I61" s="180" t="s">
        <v>240</v>
      </c>
      <c r="K61" s="233"/>
      <c r="O61" s="18"/>
      <c r="P61" s="18"/>
      <c r="Q61" s="18"/>
      <c r="R61" s="18"/>
      <c r="S61" s="18"/>
    </row>
    <row r="62" spans="1:19" x14ac:dyDescent="0.25">
      <c r="A62" s="21" t="s">
        <v>276</v>
      </c>
      <c r="B62" s="46">
        <v>21.191896319999994</v>
      </c>
      <c r="C62" s="232">
        <f t="shared" si="7"/>
        <v>0.20900254487876735</v>
      </c>
      <c r="D62" s="35">
        <v>11.22030468</v>
      </c>
      <c r="E62" s="232">
        <f t="shared" si="8"/>
        <v>0.10471225600433244</v>
      </c>
      <c r="F62" s="35">
        <v>0.87888893000000001</v>
      </c>
      <c r="G62" s="532">
        <f t="shared" si="9"/>
        <v>7.6842404061371414E-3</v>
      </c>
      <c r="H62" s="180">
        <f t="shared" si="5"/>
        <v>-92.16697803610802</v>
      </c>
      <c r="I62" s="180">
        <f t="shared" si="6"/>
        <v>-95.852712203152194</v>
      </c>
      <c r="K62" s="233"/>
      <c r="O62" s="18"/>
      <c r="P62" s="18"/>
      <c r="Q62" s="18"/>
      <c r="R62" s="18"/>
      <c r="S62" s="18"/>
    </row>
    <row r="63" spans="1:19" x14ac:dyDescent="0.25">
      <c r="A63" s="21" t="s">
        <v>673</v>
      </c>
      <c r="B63" s="46">
        <v>0.45891300000000002</v>
      </c>
      <c r="C63" s="232">
        <f t="shared" si="7"/>
        <v>4.5259746192430313E-3</v>
      </c>
      <c r="D63" s="35"/>
      <c r="E63" s="232">
        <f t="shared" si="8"/>
        <v>0</v>
      </c>
      <c r="F63" s="35">
        <v>0.77546397999999994</v>
      </c>
      <c r="G63" s="532">
        <f t="shared" si="9"/>
        <v>6.7799825953205762E-3</v>
      </c>
      <c r="H63" s="180" t="s">
        <v>240</v>
      </c>
      <c r="I63" s="180">
        <f t="shared" si="6"/>
        <v>68.978429462665019</v>
      </c>
      <c r="K63" s="233"/>
      <c r="O63" s="18"/>
      <c r="P63" s="18"/>
      <c r="Q63" s="18"/>
      <c r="R63" s="18"/>
      <c r="S63" s="18"/>
    </row>
    <row r="64" spans="1:19" x14ac:dyDescent="0.25">
      <c r="A64" s="21" t="s">
        <v>521</v>
      </c>
      <c r="B64" s="46">
        <v>5.3990949999999991</v>
      </c>
      <c r="C64" s="232">
        <f t="shared" si="7"/>
        <v>5.324792920854704E-2</v>
      </c>
      <c r="D64" s="35">
        <v>0.25304861000000001</v>
      </c>
      <c r="E64" s="232">
        <f t="shared" si="8"/>
        <v>2.3615482455740656E-3</v>
      </c>
      <c r="F64" s="35">
        <v>0.69109483999999988</v>
      </c>
      <c r="G64" s="532">
        <f t="shared" si="9"/>
        <v>6.0423322136972215E-3</v>
      </c>
      <c r="H64" s="180">
        <f t="shared" si="5"/>
        <v>173.10754245992493</v>
      </c>
      <c r="I64" s="180">
        <f t="shared" si="6"/>
        <v>-87.199802189070567</v>
      </c>
      <c r="K64" s="233"/>
      <c r="O64" s="18"/>
      <c r="P64" s="18"/>
      <c r="Q64" s="18"/>
      <c r="R64" s="18"/>
      <c r="S64" s="18"/>
    </row>
    <row r="65" spans="1:19" x14ac:dyDescent="0.25">
      <c r="A65" s="21" t="s">
        <v>656</v>
      </c>
      <c r="B65" s="46"/>
      <c r="C65" s="232">
        <f t="shared" si="7"/>
        <v>0</v>
      </c>
      <c r="D65" s="35">
        <v>0.12348387</v>
      </c>
      <c r="E65" s="232">
        <f t="shared" si="8"/>
        <v>1.1523995984613232E-3</v>
      </c>
      <c r="F65" s="35">
        <v>0.65927448999999994</v>
      </c>
      <c r="G65" s="532">
        <f t="shared" si="9"/>
        <v>5.7641227484722746E-3</v>
      </c>
      <c r="H65" s="180">
        <f t="shared" si="5"/>
        <v>433.89522858329588</v>
      </c>
      <c r="I65" s="180" t="s">
        <v>240</v>
      </c>
      <c r="K65" s="233"/>
      <c r="O65" s="18"/>
      <c r="P65" s="18"/>
      <c r="Q65" s="18"/>
      <c r="R65" s="18"/>
      <c r="S65" s="18"/>
    </row>
    <row r="66" spans="1:19" x14ac:dyDescent="0.25">
      <c r="A66" s="21" t="s">
        <v>528</v>
      </c>
      <c r="B66" s="46">
        <v>0.71806099000000001</v>
      </c>
      <c r="C66" s="232">
        <f t="shared" si="7"/>
        <v>7.0817907006524624E-3</v>
      </c>
      <c r="D66" s="35">
        <v>1.5613808600000003</v>
      </c>
      <c r="E66" s="232">
        <f t="shared" si="8"/>
        <v>1.4571414680388585E-2</v>
      </c>
      <c r="F66" s="35">
        <v>0.62265257000000007</v>
      </c>
      <c r="G66" s="532">
        <f t="shared" si="9"/>
        <v>5.443932531246168E-3</v>
      </c>
      <c r="H66" s="180">
        <f t="shared" si="5"/>
        <v>-60.121672684011251</v>
      </c>
      <c r="I66" s="180">
        <f t="shared" si="6"/>
        <v>-13.286952129233477</v>
      </c>
      <c r="K66" s="233"/>
      <c r="O66" s="18"/>
      <c r="P66" s="18"/>
      <c r="Q66" s="18"/>
      <c r="R66" s="18"/>
      <c r="S66" s="18"/>
    </row>
    <row r="67" spans="1:19" x14ac:dyDescent="0.25">
      <c r="A67" s="21" t="s">
        <v>526</v>
      </c>
      <c r="B67" s="46">
        <v>0.27088299999999998</v>
      </c>
      <c r="C67" s="232">
        <f t="shared" si="7"/>
        <v>2.6715512151200987E-3</v>
      </c>
      <c r="D67" s="35">
        <v>1.67327029</v>
      </c>
      <c r="E67" s="232">
        <f t="shared" si="8"/>
        <v>1.5615610446232872E-2</v>
      </c>
      <c r="F67" s="35">
        <v>0.50158733999999994</v>
      </c>
      <c r="G67" s="532">
        <f t="shared" si="9"/>
        <v>4.3854434544247228E-3</v>
      </c>
      <c r="H67" s="180">
        <f t="shared" si="5"/>
        <v>-70.02353158377062</v>
      </c>
      <c r="I67" s="180">
        <f t="shared" si="6"/>
        <v>85.167522509718196</v>
      </c>
      <c r="K67" s="233"/>
      <c r="O67" s="18"/>
      <c r="P67" s="18"/>
      <c r="Q67" s="18"/>
      <c r="R67" s="18"/>
      <c r="S67" s="18"/>
    </row>
    <row r="68" spans="1:19" x14ac:dyDescent="0.25">
      <c r="A68" s="21" t="s">
        <v>540</v>
      </c>
      <c r="B68" s="46">
        <v>0.19820710000000002</v>
      </c>
      <c r="C68" s="232">
        <f t="shared" ref="C68:C99" si="10">(B68/$B$142)*100</f>
        <v>1.9547938366395491E-3</v>
      </c>
      <c r="D68" s="35">
        <v>0.15208678</v>
      </c>
      <c r="E68" s="232">
        <f t="shared" ref="E68:E99" si="11">(D68/$D$142)*100</f>
        <v>1.4193331015886982E-3</v>
      </c>
      <c r="F68" s="35">
        <v>0.48906462000000001</v>
      </c>
      <c r="G68" s="532">
        <f t="shared" ref="G68:G99" si="12">(F68/$F$142)*100</f>
        <v>4.2759556821544073E-3</v>
      </c>
      <c r="H68" s="180">
        <f t="shared" si="5"/>
        <v>221.56944870553508</v>
      </c>
      <c r="I68" s="180">
        <f t="shared" si="6"/>
        <v>146.74424881853372</v>
      </c>
      <c r="K68" s="233"/>
      <c r="O68" s="18"/>
      <c r="P68" s="18"/>
      <c r="Q68" s="18"/>
      <c r="R68" s="18"/>
      <c r="S68" s="18"/>
    </row>
    <row r="69" spans="1:19" x14ac:dyDescent="0.25">
      <c r="A69" s="21" t="s">
        <v>548</v>
      </c>
      <c r="B69" s="46"/>
      <c r="C69" s="232">
        <f t="shared" si="10"/>
        <v>0</v>
      </c>
      <c r="D69" s="35"/>
      <c r="E69" s="232">
        <f t="shared" si="11"/>
        <v>0</v>
      </c>
      <c r="F69" s="35">
        <v>0.40353299999999998</v>
      </c>
      <c r="G69" s="532">
        <f t="shared" si="12"/>
        <v>3.5281415864570499E-3</v>
      </c>
      <c r="H69" s="180" t="s">
        <v>240</v>
      </c>
      <c r="I69" s="180" t="s">
        <v>240</v>
      </c>
      <c r="K69" s="233"/>
      <c r="O69" s="18"/>
      <c r="P69" s="18"/>
      <c r="Q69" s="18"/>
      <c r="R69" s="18"/>
      <c r="S69" s="18"/>
    </row>
    <row r="70" spans="1:19" x14ac:dyDescent="0.25">
      <c r="A70" s="21" t="s">
        <v>519</v>
      </c>
      <c r="B70" s="46">
        <v>0.21808285000000002</v>
      </c>
      <c r="C70" s="232">
        <f t="shared" si="10"/>
        <v>2.1508160457258457E-3</v>
      </c>
      <c r="D70" s="35">
        <v>2.9463499999999999E-3</v>
      </c>
      <c r="E70" s="232">
        <f t="shared" si="11"/>
        <v>2.7496486439293809E-5</v>
      </c>
      <c r="F70" s="35">
        <v>0.39725199999999999</v>
      </c>
      <c r="G70" s="532">
        <f t="shared" si="12"/>
        <v>3.473225985243428E-3</v>
      </c>
      <c r="H70" s="180">
        <f t="shared" ref="H70:H132" si="13">((F70/D70)-1)*100</f>
        <v>13382.85166392316</v>
      </c>
      <c r="I70" s="180">
        <f t="shared" ref="I70:I130" si="14">((F70/B70)-1)*100</f>
        <v>82.156460262693713</v>
      </c>
      <c r="K70" s="233"/>
      <c r="O70" s="18"/>
      <c r="P70" s="18"/>
      <c r="Q70" s="18"/>
      <c r="R70" s="18"/>
      <c r="S70" s="18"/>
    </row>
    <row r="71" spans="1:19" x14ac:dyDescent="0.25">
      <c r="A71" s="21" t="s">
        <v>284</v>
      </c>
      <c r="B71" s="46">
        <v>1.1299999999999999E-2</v>
      </c>
      <c r="C71" s="232">
        <f t="shared" si="10"/>
        <v>1.1144489957235085E-4</v>
      </c>
      <c r="D71" s="35">
        <v>0.40307510999999996</v>
      </c>
      <c r="E71" s="232">
        <f t="shared" si="11"/>
        <v>3.7616540112789922E-3</v>
      </c>
      <c r="F71" s="35">
        <v>0.39430916999999999</v>
      </c>
      <c r="G71" s="532">
        <f t="shared" si="12"/>
        <v>3.4474964391967016E-3</v>
      </c>
      <c r="H71" s="180">
        <f t="shared" si="13"/>
        <v>-2.1747658891664079</v>
      </c>
      <c r="I71" s="180">
        <f t="shared" si="14"/>
        <v>3389.461681415929</v>
      </c>
      <c r="K71" s="233"/>
      <c r="O71" s="18"/>
      <c r="P71" s="18"/>
      <c r="Q71" s="18"/>
      <c r="R71" s="18"/>
      <c r="S71" s="18"/>
    </row>
    <row r="72" spans="1:19" x14ac:dyDescent="0.25">
      <c r="A72" s="21" t="s">
        <v>335</v>
      </c>
      <c r="B72" s="46">
        <v>3.63580864</v>
      </c>
      <c r="C72" s="232">
        <f t="shared" si="10"/>
        <v>3.5857728207883674E-2</v>
      </c>
      <c r="D72" s="35"/>
      <c r="E72" s="232">
        <f t="shared" si="11"/>
        <v>0</v>
      </c>
      <c r="F72" s="35">
        <v>0.29593816000000001</v>
      </c>
      <c r="G72" s="532">
        <f t="shared" si="12"/>
        <v>2.5874258841670455E-3</v>
      </c>
      <c r="H72" s="180" t="s">
        <v>240</v>
      </c>
      <c r="I72" s="180">
        <f t="shared" si="14"/>
        <v>-91.860458310589195</v>
      </c>
      <c r="K72" s="233"/>
      <c r="O72" s="18"/>
      <c r="P72" s="18"/>
      <c r="Q72" s="18"/>
      <c r="R72" s="18"/>
      <c r="S72" s="18"/>
    </row>
    <row r="73" spans="1:19" x14ac:dyDescent="0.25">
      <c r="A73" s="21" t="s">
        <v>622</v>
      </c>
      <c r="B73" s="46">
        <v>0.27180728999999998</v>
      </c>
      <c r="C73" s="232">
        <f t="shared" si="10"/>
        <v>2.6806669147860923E-3</v>
      </c>
      <c r="D73" s="35">
        <v>0.12544279999999999</v>
      </c>
      <c r="E73" s="232">
        <f t="shared" si="11"/>
        <v>1.1706810966473926E-3</v>
      </c>
      <c r="F73" s="35">
        <v>0.28317160000000002</v>
      </c>
      <c r="G73" s="532">
        <f t="shared" si="12"/>
        <v>2.4758061870121684E-3</v>
      </c>
      <c r="H73" s="180">
        <f t="shared" si="13"/>
        <v>125.73762703000892</v>
      </c>
      <c r="I73" s="180">
        <f t="shared" si="14"/>
        <v>4.1810173671206652</v>
      </c>
      <c r="K73" s="233"/>
      <c r="O73" s="18"/>
      <c r="P73" s="18"/>
      <c r="Q73" s="18"/>
      <c r="R73" s="18"/>
      <c r="S73" s="18"/>
    </row>
    <row r="74" spans="1:19" x14ac:dyDescent="0.25">
      <c r="A74" s="21" t="s">
        <v>605</v>
      </c>
      <c r="B74" s="46">
        <v>5.3419130799999985</v>
      </c>
      <c r="C74" s="232">
        <f t="shared" si="10"/>
        <v>5.2683979356179404E-2</v>
      </c>
      <c r="D74" s="35">
        <v>6.5896468700000002</v>
      </c>
      <c r="E74" s="232">
        <f t="shared" si="11"/>
        <v>6.1497152680669263E-2</v>
      </c>
      <c r="F74" s="35">
        <v>0.27522655999999995</v>
      </c>
      <c r="G74" s="532">
        <f t="shared" si="12"/>
        <v>2.406341667307299E-3</v>
      </c>
      <c r="H74" s="180">
        <f t="shared" si="13"/>
        <v>-95.823348876963422</v>
      </c>
      <c r="I74" s="180">
        <f t="shared" si="14"/>
        <v>-94.847790372508271</v>
      </c>
      <c r="K74" s="233"/>
      <c r="O74" s="18"/>
      <c r="P74" s="18"/>
      <c r="Q74" s="18"/>
      <c r="R74" s="18"/>
      <c r="S74" s="18"/>
    </row>
    <row r="75" spans="1:19" x14ac:dyDescent="0.25">
      <c r="A75" s="21" t="s">
        <v>668</v>
      </c>
      <c r="B75" s="46"/>
      <c r="C75" s="232">
        <f t="shared" si="10"/>
        <v>0</v>
      </c>
      <c r="D75" s="35"/>
      <c r="E75" s="232">
        <f t="shared" si="11"/>
        <v>0</v>
      </c>
      <c r="F75" s="35">
        <v>0.2437339</v>
      </c>
      <c r="G75" s="532">
        <f t="shared" si="12"/>
        <v>2.1309972384398897E-3</v>
      </c>
      <c r="H75" s="180" t="s">
        <v>240</v>
      </c>
      <c r="I75" s="180" t="s">
        <v>240</v>
      </c>
      <c r="K75" s="233"/>
      <c r="O75" s="18"/>
      <c r="P75" s="18"/>
      <c r="Q75" s="18"/>
      <c r="R75" s="18"/>
      <c r="S75" s="18"/>
    </row>
    <row r="76" spans="1:19" x14ac:dyDescent="0.25">
      <c r="A76" s="21" t="s">
        <v>602</v>
      </c>
      <c r="B76" s="46">
        <v>5.7450540000000001E-2</v>
      </c>
      <c r="C76" s="232">
        <f t="shared" si="10"/>
        <v>5.6659908501569261E-4</v>
      </c>
      <c r="D76" s="35">
        <v>5.8060500000000001E-3</v>
      </c>
      <c r="E76" s="232">
        <f t="shared" si="11"/>
        <v>5.4184321309709242E-5</v>
      </c>
      <c r="F76" s="35">
        <v>0.23644979999999999</v>
      </c>
      <c r="G76" s="532">
        <f t="shared" si="12"/>
        <v>2.0673114032543861E-3</v>
      </c>
      <c r="H76" s="180">
        <f t="shared" si="13"/>
        <v>3972.4726793603222</v>
      </c>
      <c r="I76" s="180">
        <f t="shared" si="14"/>
        <v>311.5710661727461</v>
      </c>
      <c r="K76" s="233"/>
      <c r="O76" s="18"/>
      <c r="P76" s="18"/>
      <c r="Q76" s="18"/>
      <c r="R76" s="18"/>
      <c r="S76" s="18"/>
    </row>
    <row r="77" spans="1:19" x14ac:dyDescent="0.25">
      <c r="A77" s="21" t="s">
        <v>525</v>
      </c>
      <c r="B77" s="46">
        <v>8.19546113</v>
      </c>
      <c r="C77" s="232">
        <f t="shared" si="10"/>
        <v>8.0826755980703976E-2</v>
      </c>
      <c r="D77" s="35">
        <v>0.31209668000000002</v>
      </c>
      <c r="E77" s="232">
        <f t="shared" si="11"/>
        <v>2.9126078467828394E-3</v>
      </c>
      <c r="F77" s="35">
        <v>0.22202270999999998</v>
      </c>
      <c r="G77" s="532">
        <f t="shared" si="12"/>
        <v>1.9411734759955035E-3</v>
      </c>
      <c r="H77" s="180">
        <f t="shared" si="13"/>
        <v>-28.860918994716645</v>
      </c>
      <c r="I77" s="180">
        <f t="shared" si="14"/>
        <v>-97.290906436158025</v>
      </c>
      <c r="K77" s="233"/>
      <c r="O77" s="18"/>
      <c r="P77" s="18"/>
      <c r="Q77" s="18"/>
      <c r="R77" s="18"/>
      <c r="S77" s="18"/>
    </row>
    <row r="78" spans="1:19" x14ac:dyDescent="0.25">
      <c r="A78" s="21" t="s">
        <v>578</v>
      </c>
      <c r="B78" s="46">
        <v>1.1299999999999999E-2</v>
      </c>
      <c r="C78" s="232">
        <f t="shared" si="10"/>
        <v>1.1144489957235085E-4</v>
      </c>
      <c r="D78" s="35"/>
      <c r="E78" s="232">
        <f t="shared" si="11"/>
        <v>0</v>
      </c>
      <c r="F78" s="35">
        <v>0.18530658999999999</v>
      </c>
      <c r="G78" s="532">
        <f t="shared" si="12"/>
        <v>1.620159655898145E-3</v>
      </c>
      <c r="H78" s="180" t="s">
        <v>240</v>
      </c>
      <c r="I78" s="180">
        <f t="shared" si="14"/>
        <v>1539.8813274336285</v>
      </c>
      <c r="K78" s="233"/>
      <c r="O78" s="18"/>
      <c r="P78" s="18"/>
      <c r="Q78" s="18"/>
      <c r="R78" s="18"/>
      <c r="S78" s="18"/>
    </row>
    <row r="79" spans="1:19" x14ac:dyDescent="0.25">
      <c r="A79" s="21" t="s">
        <v>274</v>
      </c>
      <c r="B79" s="46"/>
      <c r="C79" s="232">
        <f t="shared" si="10"/>
        <v>0</v>
      </c>
      <c r="D79" s="35">
        <v>2.5717060100000002</v>
      </c>
      <c r="E79" s="232">
        <f t="shared" si="11"/>
        <v>2.4000162719912906E-2</v>
      </c>
      <c r="F79" s="35">
        <v>0.1706</v>
      </c>
      <c r="G79" s="532">
        <f t="shared" si="12"/>
        <v>1.4915780237293424E-3</v>
      </c>
      <c r="H79" s="180">
        <f t="shared" si="13"/>
        <v>-93.366271286973429</v>
      </c>
      <c r="I79" s="180" t="s">
        <v>240</v>
      </c>
      <c r="K79" s="233"/>
      <c r="O79" s="18"/>
      <c r="P79" s="18"/>
      <c r="Q79" s="18"/>
      <c r="R79" s="18"/>
      <c r="S79" s="18"/>
    </row>
    <row r="80" spans="1:19" x14ac:dyDescent="0.25">
      <c r="A80" s="21" t="s">
        <v>538</v>
      </c>
      <c r="B80" s="46">
        <v>0.23595934000000002</v>
      </c>
      <c r="C80" s="232">
        <f t="shared" si="10"/>
        <v>2.3271207919874507E-3</v>
      </c>
      <c r="D80" s="35">
        <v>2.3293000000000001E-2</v>
      </c>
      <c r="E80" s="232">
        <f t="shared" si="11"/>
        <v>2.1737935365128742E-4</v>
      </c>
      <c r="F80" s="35">
        <v>0.13902199999999998</v>
      </c>
      <c r="G80" s="532">
        <f t="shared" si="12"/>
        <v>1.2154874561248572E-3</v>
      </c>
      <c r="H80" s="180">
        <f t="shared" si="13"/>
        <v>496.84025243635415</v>
      </c>
      <c r="I80" s="180">
        <f t="shared" si="14"/>
        <v>-41.082222047239171</v>
      </c>
      <c r="K80" s="233"/>
      <c r="O80" s="18"/>
      <c r="P80" s="18"/>
      <c r="Q80" s="18"/>
      <c r="R80" s="18"/>
      <c r="S80" s="18"/>
    </row>
    <row r="81" spans="1:19" x14ac:dyDescent="0.25">
      <c r="A81" s="21" t="s">
        <v>545</v>
      </c>
      <c r="B81" s="46">
        <v>0.41715217999999998</v>
      </c>
      <c r="C81" s="232">
        <f t="shared" si="10"/>
        <v>4.1141135226979847E-3</v>
      </c>
      <c r="D81" s="35">
        <v>0.43525586999999999</v>
      </c>
      <c r="E81" s="232">
        <f t="shared" si="11"/>
        <v>4.0619774049512206E-3</v>
      </c>
      <c r="F81" s="35">
        <v>0.12645327000000001</v>
      </c>
      <c r="G81" s="532">
        <f t="shared" si="12"/>
        <v>1.1055974124309085E-3</v>
      </c>
      <c r="H81" s="180">
        <f t="shared" si="13"/>
        <v>-70.947371714940914</v>
      </c>
      <c r="I81" s="180">
        <f t="shared" si="14"/>
        <v>-69.68653741663293</v>
      </c>
      <c r="K81" s="233"/>
      <c r="O81" s="18"/>
      <c r="P81" s="18"/>
      <c r="Q81" s="18"/>
      <c r="R81" s="18"/>
      <c r="S81" s="18"/>
    </row>
    <row r="82" spans="1:19" x14ac:dyDescent="0.25">
      <c r="A82" s="21" t="s">
        <v>657</v>
      </c>
      <c r="B82" s="46"/>
      <c r="C82" s="232">
        <f t="shared" si="10"/>
        <v>0</v>
      </c>
      <c r="D82" s="35"/>
      <c r="E82" s="232">
        <f t="shared" si="11"/>
        <v>0</v>
      </c>
      <c r="F82" s="35">
        <v>0.12459799000000001</v>
      </c>
      <c r="G82" s="532">
        <f t="shared" si="12"/>
        <v>1.0893764577072005E-3</v>
      </c>
      <c r="H82" s="180" t="s">
        <v>240</v>
      </c>
      <c r="I82" s="180" t="s">
        <v>240</v>
      </c>
      <c r="K82" s="233"/>
      <c r="O82" s="18"/>
      <c r="P82" s="18"/>
      <c r="Q82" s="18"/>
      <c r="R82" s="18"/>
      <c r="S82" s="18"/>
    </row>
    <row r="83" spans="1:19" x14ac:dyDescent="0.25">
      <c r="A83" s="21" t="s">
        <v>237</v>
      </c>
      <c r="B83" s="46"/>
      <c r="C83" s="232">
        <f t="shared" si="10"/>
        <v>0</v>
      </c>
      <c r="D83" s="35">
        <v>30.059213069999995</v>
      </c>
      <c r="E83" s="232">
        <f t="shared" si="11"/>
        <v>0.28052429092100328</v>
      </c>
      <c r="F83" s="35">
        <v>0.12318852</v>
      </c>
      <c r="G83" s="532">
        <f t="shared" si="12"/>
        <v>1.0770532778882917E-3</v>
      </c>
      <c r="H83" s="180">
        <f t="shared" si="13"/>
        <v>-99.590180489046318</v>
      </c>
      <c r="I83" s="180" t="s">
        <v>240</v>
      </c>
      <c r="K83" s="233"/>
      <c r="O83" s="18"/>
      <c r="P83" s="18"/>
      <c r="Q83" s="18"/>
      <c r="R83" s="18"/>
      <c r="S83" s="18"/>
    </row>
    <row r="84" spans="1:19" x14ac:dyDescent="0.25">
      <c r="A84" s="21" t="s">
        <v>547</v>
      </c>
      <c r="B84" s="46">
        <v>4.9726380000000001E-2</v>
      </c>
      <c r="C84" s="232">
        <f t="shared" si="10"/>
        <v>4.9042048010588992E-4</v>
      </c>
      <c r="D84" s="35">
        <v>0.10622685</v>
      </c>
      <c r="E84" s="232">
        <f t="shared" si="11"/>
        <v>9.9135036248711042E-4</v>
      </c>
      <c r="F84" s="35">
        <v>0.11439292</v>
      </c>
      <c r="G84" s="532">
        <f t="shared" si="12"/>
        <v>1.0001522013026306E-3</v>
      </c>
      <c r="H84" s="180">
        <f t="shared" si="13"/>
        <v>7.687387887337338</v>
      </c>
      <c r="I84" s="180">
        <f t="shared" si="14"/>
        <v>130.04473681776153</v>
      </c>
      <c r="K84" s="233"/>
      <c r="O84" s="18"/>
      <c r="P84" s="18"/>
      <c r="Q84" s="18"/>
      <c r="R84" s="18"/>
      <c r="S84" s="18"/>
    </row>
    <row r="85" spans="1:19" x14ac:dyDescent="0.25">
      <c r="A85" s="21" t="s">
        <v>567</v>
      </c>
      <c r="B85" s="46">
        <v>0.31651120000000005</v>
      </c>
      <c r="C85" s="232">
        <f t="shared" si="10"/>
        <v>3.1215538847366602E-3</v>
      </c>
      <c r="D85" s="35">
        <v>8.5182999999999993E-4</v>
      </c>
      <c r="E85" s="232">
        <f t="shared" si="11"/>
        <v>7.9496095316522611E-6</v>
      </c>
      <c r="F85" s="35">
        <v>8.8388970000000011E-2</v>
      </c>
      <c r="G85" s="532">
        <f t="shared" si="12"/>
        <v>7.7279627896876992E-4</v>
      </c>
      <c r="H85" s="180">
        <f t="shared" si="13"/>
        <v>10276.36265452027</v>
      </c>
      <c r="I85" s="180">
        <f t="shared" si="14"/>
        <v>-72.073983479889492</v>
      </c>
      <c r="K85" s="233"/>
      <c r="O85" s="18"/>
      <c r="P85" s="18"/>
      <c r="Q85" s="18"/>
      <c r="R85" s="18"/>
      <c r="S85" s="18"/>
    </row>
    <row r="86" spans="1:19" x14ac:dyDescent="0.25">
      <c r="A86" s="21" t="s">
        <v>606</v>
      </c>
      <c r="B86" s="46">
        <v>4.0577549800000003</v>
      </c>
      <c r="C86" s="232">
        <f t="shared" si="10"/>
        <v>4.0019123560646595E-2</v>
      </c>
      <c r="D86" s="35">
        <v>0.21190871999999999</v>
      </c>
      <c r="E86" s="232">
        <f t="shared" si="11"/>
        <v>1.9776147592268766E-3</v>
      </c>
      <c r="F86" s="35">
        <v>6.7546270000000005E-2</v>
      </c>
      <c r="G86" s="532">
        <f t="shared" si="12"/>
        <v>5.9056583773088264E-4</v>
      </c>
      <c r="H86" s="180">
        <f t="shared" si="13"/>
        <v>-68.124827520075627</v>
      </c>
      <c r="I86" s="180">
        <f t="shared" si="14"/>
        <v>-98.335378298272701</v>
      </c>
      <c r="K86" s="233"/>
      <c r="O86" s="18"/>
      <c r="P86" s="18"/>
      <c r="Q86" s="18"/>
      <c r="R86" s="18"/>
      <c r="S86" s="18"/>
    </row>
    <row r="87" spans="1:19" x14ac:dyDescent="0.25">
      <c r="A87" s="21" t="s">
        <v>550</v>
      </c>
      <c r="B87" s="46">
        <v>1.1195678999999998</v>
      </c>
      <c r="C87" s="232">
        <f t="shared" si="10"/>
        <v>1.1041604617692718E-2</v>
      </c>
      <c r="D87" s="35">
        <v>2.3674000000000001E-4</v>
      </c>
      <c r="E87" s="232">
        <f t="shared" si="11"/>
        <v>2.2093499413302619E-6</v>
      </c>
      <c r="F87" s="35">
        <v>5.6085739999999995E-2</v>
      </c>
      <c r="G87" s="532">
        <f t="shared" si="12"/>
        <v>4.903649309999866E-4</v>
      </c>
      <c r="H87" s="180">
        <f t="shared" si="13"/>
        <v>23590.859170397904</v>
      </c>
      <c r="I87" s="180">
        <f t="shared" si="14"/>
        <v>-94.990411925886761</v>
      </c>
      <c r="K87" s="233"/>
      <c r="O87" s="18"/>
      <c r="P87" s="18"/>
      <c r="Q87" s="18"/>
      <c r="R87" s="18"/>
      <c r="S87" s="18"/>
    </row>
    <row r="88" spans="1:19" x14ac:dyDescent="0.25">
      <c r="A88" s="21" t="s">
        <v>283</v>
      </c>
      <c r="B88" s="46">
        <v>0.51569644999999997</v>
      </c>
      <c r="C88" s="232">
        <f t="shared" si="10"/>
        <v>5.0859946088555614E-3</v>
      </c>
      <c r="D88" s="35">
        <v>23.58958513</v>
      </c>
      <c r="E88" s="232">
        <f t="shared" si="11"/>
        <v>0.22014720166837337</v>
      </c>
      <c r="F88" s="35">
        <v>5.2965910000000005E-2</v>
      </c>
      <c r="G88" s="532">
        <f t="shared" si="12"/>
        <v>4.6308785089581609E-4</v>
      </c>
      <c r="H88" s="180">
        <f t="shared" si="13"/>
        <v>-99.775469090668139</v>
      </c>
      <c r="I88" s="180">
        <f t="shared" si="14"/>
        <v>-89.729246730319744</v>
      </c>
      <c r="K88" s="233"/>
      <c r="O88" s="18"/>
      <c r="P88" s="18"/>
      <c r="Q88" s="18"/>
      <c r="R88" s="18"/>
      <c r="S88" s="18"/>
    </row>
    <row r="89" spans="1:19" x14ac:dyDescent="0.25">
      <c r="A89" s="21" t="s">
        <v>536</v>
      </c>
      <c r="B89" s="46">
        <v>0.5121821700000001</v>
      </c>
      <c r="C89" s="232">
        <f t="shared" si="10"/>
        <v>5.0513354423361717E-3</v>
      </c>
      <c r="D89" s="35">
        <v>0.24362155000000002</v>
      </c>
      <c r="E89" s="232">
        <f t="shared" si="11"/>
        <v>2.2735712477793672E-3</v>
      </c>
      <c r="F89" s="35">
        <v>4.644123E-2</v>
      </c>
      <c r="G89" s="532">
        <f t="shared" si="12"/>
        <v>4.0604172369847506E-4</v>
      </c>
      <c r="H89" s="180">
        <f t="shared" si="13"/>
        <v>-80.937142054961882</v>
      </c>
      <c r="I89" s="180">
        <f t="shared" si="14"/>
        <v>-90.932673427503346</v>
      </c>
      <c r="K89" s="233"/>
      <c r="O89" s="18"/>
      <c r="P89" s="18"/>
      <c r="Q89" s="18"/>
      <c r="R89" s="18"/>
      <c r="S89" s="18"/>
    </row>
    <row r="90" spans="1:19" x14ac:dyDescent="0.25">
      <c r="A90" s="21" t="s">
        <v>535</v>
      </c>
      <c r="B90" s="46">
        <v>1.7949999999999997E-2</v>
      </c>
      <c r="C90" s="232">
        <f t="shared" si="10"/>
        <v>1.7702972985165466E-4</v>
      </c>
      <c r="D90" s="35">
        <v>0.26226588000000001</v>
      </c>
      <c r="E90" s="232">
        <f t="shared" si="11"/>
        <v>2.4475674013302758E-3</v>
      </c>
      <c r="F90" s="35">
        <v>3.714609E-2</v>
      </c>
      <c r="G90" s="532">
        <f t="shared" si="12"/>
        <v>3.2477310381871213E-4</v>
      </c>
      <c r="H90" s="180">
        <f t="shared" si="13"/>
        <v>-85.836476327000682</v>
      </c>
      <c r="I90" s="180">
        <f t="shared" si="14"/>
        <v>106.94200557103066</v>
      </c>
      <c r="K90" s="233"/>
      <c r="O90" s="18"/>
      <c r="P90" s="18"/>
      <c r="Q90" s="18"/>
      <c r="R90" s="18"/>
      <c r="S90" s="18"/>
    </row>
    <row r="91" spans="1:19" x14ac:dyDescent="0.25">
      <c r="A91" s="21" t="s">
        <v>619</v>
      </c>
      <c r="B91" s="46"/>
      <c r="C91" s="232">
        <f t="shared" si="10"/>
        <v>0</v>
      </c>
      <c r="D91" s="35">
        <v>5.0000000000000002E-5</v>
      </c>
      <c r="E91" s="232">
        <f t="shared" si="11"/>
        <v>4.6661948579248579E-7</v>
      </c>
      <c r="F91" s="35">
        <v>2.179327E-2</v>
      </c>
      <c r="G91" s="532">
        <f t="shared" si="12"/>
        <v>1.9054139857678761E-4</v>
      </c>
      <c r="H91" s="180">
        <f t="shared" si="13"/>
        <v>43486.539999999994</v>
      </c>
      <c r="I91" s="180" t="s">
        <v>240</v>
      </c>
      <c r="K91" s="233"/>
      <c r="O91" s="18"/>
      <c r="P91" s="18"/>
      <c r="Q91" s="18"/>
      <c r="R91" s="18"/>
      <c r="S91" s="18"/>
    </row>
    <row r="92" spans="1:19" x14ac:dyDescent="0.25">
      <c r="A92" s="21" t="s">
        <v>577</v>
      </c>
      <c r="B92" s="46"/>
      <c r="C92" s="232">
        <f t="shared" si="10"/>
        <v>0</v>
      </c>
      <c r="D92" s="35">
        <v>0.11290537</v>
      </c>
      <c r="E92" s="232">
        <f t="shared" si="11"/>
        <v>1.0536769138522069E-3</v>
      </c>
      <c r="F92" s="35">
        <v>1.7763599999999997E-2</v>
      </c>
      <c r="G92" s="532">
        <f t="shared" si="12"/>
        <v>1.5530946882953426E-4</v>
      </c>
      <c r="H92" s="180">
        <f t="shared" si="13"/>
        <v>-84.266824509764234</v>
      </c>
      <c r="I92" s="180" t="s">
        <v>240</v>
      </c>
      <c r="K92" s="233"/>
      <c r="O92" s="18"/>
      <c r="P92" s="18"/>
      <c r="Q92" s="18"/>
      <c r="R92" s="18"/>
      <c r="S92" s="18"/>
    </row>
    <row r="93" spans="1:19" x14ac:dyDescent="0.25">
      <c r="A93" s="21" t="s">
        <v>533</v>
      </c>
      <c r="B93" s="46"/>
      <c r="C93" s="232">
        <f t="shared" si="10"/>
        <v>0</v>
      </c>
      <c r="D93" s="35">
        <v>2.44503264</v>
      </c>
      <c r="E93" s="232">
        <f t="shared" si="11"/>
        <v>2.2817997464452879E-2</v>
      </c>
      <c r="F93" s="35">
        <v>1.5259809999999999E-2</v>
      </c>
      <c r="G93" s="532">
        <f t="shared" si="12"/>
        <v>1.3341850669569316E-4</v>
      </c>
      <c r="H93" s="180">
        <f t="shared" si="13"/>
        <v>-99.375885223356363</v>
      </c>
      <c r="I93" s="180" t="s">
        <v>240</v>
      </c>
      <c r="K93" s="233"/>
      <c r="O93" s="18"/>
      <c r="P93" s="18"/>
      <c r="Q93" s="18"/>
      <c r="R93" s="18"/>
      <c r="S93" s="18"/>
    </row>
    <row r="94" spans="1:19" x14ac:dyDescent="0.25">
      <c r="A94" s="21" t="s">
        <v>621</v>
      </c>
      <c r="B94" s="46"/>
      <c r="C94" s="232">
        <f t="shared" si="10"/>
        <v>0</v>
      </c>
      <c r="D94" s="35">
        <v>3.3815600000000001E-2</v>
      </c>
      <c r="E94" s="232">
        <f t="shared" si="11"/>
        <v>3.1558035767528765E-4</v>
      </c>
      <c r="F94" s="35">
        <v>1.4691259999999999E-2</v>
      </c>
      <c r="G94" s="532">
        <f t="shared" si="12"/>
        <v>1.2844759998179332E-4</v>
      </c>
      <c r="H94" s="180">
        <f t="shared" si="13"/>
        <v>-56.554785365334347</v>
      </c>
      <c r="I94" s="180" t="s">
        <v>240</v>
      </c>
      <c r="K94" s="233"/>
      <c r="O94" s="18"/>
      <c r="P94" s="18"/>
      <c r="Q94" s="18"/>
      <c r="R94" s="18"/>
      <c r="S94" s="18"/>
    </row>
    <row r="95" spans="1:19" x14ac:dyDescent="0.25">
      <c r="A95" s="21" t="s">
        <v>523</v>
      </c>
      <c r="B95" s="46">
        <v>3.0000000000000001E-6</v>
      </c>
      <c r="C95" s="232">
        <f t="shared" si="10"/>
        <v>2.9587141479385183E-8</v>
      </c>
      <c r="D95" s="35">
        <v>1.4121777199999999</v>
      </c>
      <c r="E95" s="232">
        <f t="shared" si="11"/>
        <v>1.3178992831080098E-2</v>
      </c>
      <c r="F95" s="35">
        <v>9.5499999999999995E-3</v>
      </c>
      <c r="G95" s="532">
        <f t="shared" si="12"/>
        <v>8.3496894059878189E-5</v>
      </c>
      <c r="H95" s="180">
        <f t="shared" si="13"/>
        <v>-99.323739507800752</v>
      </c>
      <c r="I95" s="180">
        <f t="shared" si="14"/>
        <v>318233.33333333331</v>
      </c>
      <c r="K95" s="233"/>
      <c r="O95" s="18"/>
      <c r="P95" s="18"/>
      <c r="Q95" s="18"/>
      <c r="R95" s="18"/>
      <c r="S95" s="18"/>
    </row>
    <row r="96" spans="1:19" x14ac:dyDescent="0.25">
      <c r="A96" s="21" t="s">
        <v>561</v>
      </c>
      <c r="B96" s="46">
        <v>3.5E-4</v>
      </c>
      <c r="C96" s="232">
        <f t="shared" si="10"/>
        <v>3.4518331725949375E-6</v>
      </c>
      <c r="D96" s="35">
        <v>3.7649999999999993E-3</v>
      </c>
      <c r="E96" s="232">
        <f t="shared" si="11"/>
        <v>3.5136447280174172E-5</v>
      </c>
      <c r="F96" s="35">
        <v>8.5499999999999986E-3</v>
      </c>
      <c r="G96" s="532">
        <f t="shared" si="12"/>
        <v>7.4753763791828105E-5</v>
      </c>
      <c r="H96" s="180">
        <f t="shared" si="13"/>
        <v>127.09163346613548</v>
      </c>
      <c r="I96" s="180">
        <f t="shared" si="14"/>
        <v>2342.8571428571422</v>
      </c>
      <c r="K96" s="233"/>
      <c r="O96" s="18"/>
      <c r="P96" s="18"/>
      <c r="Q96" s="18"/>
      <c r="R96" s="18"/>
      <c r="S96" s="18"/>
    </row>
    <row r="97" spans="1:19" x14ac:dyDescent="0.25">
      <c r="A97" s="21" t="s">
        <v>275</v>
      </c>
      <c r="B97" s="46">
        <v>0.10569338</v>
      </c>
      <c r="C97" s="232">
        <f t="shared" si="10"/>
        <v>1.0423883291648067E-3</v>
      </c>
      <c r="D97" s="35">
        <v>1.4839999999999999E-3</v>
      </c>
      <c r="E97" s="232">
        <f t="shared" si="11"/>
        <v>1.3849266338320977E-5</v>
      </c>
      <c r="F97" s="35">
        <v>4.6499999999999996E-3</v>
      </c>
      <c r="G97" s="532">
        <f t="shared" si="12"/>
        <v>4.0655555746432837E-5</v>
      </c>
      <c r="H97" s="180">
        <f t="shared" si="13"/>
        <v>213.34231805929917</v>
      </c>
      <c r="I97" s="180">
        <f t="shared" si="14"/>
        <v>-95.600481316805272</v>
      </c>
      <c r="K97" s="233"/>
      <c r="O97" s="18"/>
      <c r="P97" s="18"/>
      <c r="Q97" s="18"/>
      <c r="R97" s="18"/>
      <c r="S97" s="18"/>
    </row>
    <row r="98" spans="1:19" x14ac:dyDescent="0.25">
      <c r="A98" s="21" t="s">
        <v>556</v>
      </c>
      <c r="B98" s="46">
        <v>1.9560000000000003E-3</v>
      </c>
      <c r="C98" s="232">
        <f t="shared" si="10"/>
        <v>1.9290816244559139E-5</v>
      </c>
      <c r="D98" s="35">
        <v>1.6399999999999998E-2</v>
      </c>
      <c r="E98" s="232">
        <f t="shared" si="11"/>
        <v>1.5305119133993532E-4</v>
      </c>
      <c r="F98" s="35">
        <v>3.2750000000000001E-3</v>
      </c>
      <c r="G98" s="532">
        <f t="shared" si="12"/>
        <v>2.8633751627863992E-5</v>
      </c>
      <c r="H98" s="180">
        <f t="shared" si="13"/>
        <v>-80.030487804878049</v>
      </c>
      <c r="I98" s="180">
        <f t="shared" si="14"/>
        <v>67.433537832310833</v>
      </c>
      <c r="K98" s="233"/>
      <c r="O98" s="18"/>
      <c r="P98" s="18"/>
      <c r="Q98" s="18"/>
      <c r="R98" s="18"/>
      <c r="S98" s="18"/>
    </row>
    <row r="99" spans="1:19" x14ac:dyDescent="0.25">
      <c r="A99" s="21" t="s">
        <v>327</v>
      </c>
      <c r="B99" s="46"/>
      <c r="C99" s="232">
        <f t="shared" si="10"/>
        <v>0</v>
      </c>
      <c r="D99" s="35"/>
      <c r="E99" s="232">
        <f t="shared" si="11"/>
        <v>0</v>
      </c>
      <c r="F99" s="35">
        <v>2.5477899999999999E-3</v>
      </c>
      <c r="G99" s="532">
        <f t="shared" si="12"/>
        <v>2.2275659865635294E-5</v>
      </c>
      <c r="H99" s="180" t="s">
        <v>240</v>
      </c>
      <c r="I99" s="180" t="s">
        <v>240</v>
      </c>
      <c r="K99" s="233"/>
      <c r="O99" s="18"/>
      <c r="P99" s="18"/>
      <c r="Q99" s="18"/>
      <c r="R99" s="18"/>
      <c r="S99" s="18"/>
    </row>
    <row r="100" spans="1:19" x14ac:dyDescent="0.25">
      <c r="A100" s="21" t="s">
        <v>571</v>
      </c>
      <c r="B100" s="46"/>
      <c r="C100" s="232">
        <f t="shared" ref="C100:C131" si="15">(B100/$B$142)*100</f>
        <v>0</v>
      </c>
      <c r="D100" s="35"/>
      <c r="E100" s="232">
        <f t="shared" ref="E100:E131" si="16">(D100/$D$142)*100</f>
        <v>0</v>
      </c>
      <c r="F100" s="35">
        <v>1E-3</v>
      </c>
      <c r="G100" s="532">
        <f t="shared" ref="G100:G131" si="17">(F100/$F$142)*100</f>
        <v>8.7431302680500727E-6</v>
      </c>
      <c r="H100" s="180" t="s">
        <v>240</v>
      </c>
      <c r="I100" s="180" t="s">
        <v>240</v>
      </c>
      <c r="K100" s="233"/>
      <c r="O100" s="18"/>
      <c r="P100" s="18"/>
      <c r="Q100" s="18"/>
      <c r="R100" s="18"/>
      <c r="S100" s="18"/>
    </row>
    <row r="101" spans="1:19" x14ac:dyDescent="0.25">
      <c r="A101" s="21" t="s">
        <v>268</v>
      </c>
      <c r="B101" s="46">
        <v>0.85420022000000007</v>
      </c>
      <c r="C101" s="232">
        <f t="shared" si="15"/>
        <v>8.4244475869539835E-3</v>
      </c>
      <c r="D101" s="35">
        <v>7.1759920000000005E-2</v>
      </c>
      <c r="E101" s="232">
        <f t="shared" si="16"/>
        <v>6.696915394181983E-4</v>
      </c>
      <c r="F101" s="35">
        <v>3.3395999999999995E-4</v>
      </c>
      <c r="G101" s="532">
        <f t="shared" si="17"/>
        <v>2.9198557843180023E-6</v>
      </c>
      <c r="H101" s="180">
        <f t="shared" si="13"/>
        <v>-99.534614865791383</v>
      </c>
      <c r="I101" s="180">
        <f t="shared" si="14"/>
        <v>-99.960903779678262</v>
      </c>
      <c r="K101" s="233"/>
      <c r="O101" s="18"/>
      <c r="P101" s="18"/>
      <c r="Q101" s="18"/>
      <c r="R101" s="18"/>
      <c r="S101" s="18"/>
    </row>
    <row r="102" spans="1:19" x14ac:dyDescent="0.25">
      <c r="A102" s="21" t="s">
        <v>552</v>
      </c>
      <c r="B102" s="46"/>
      <c r="C102" s="232">
        <f t="shared" si="15"/>
        <v>0</v>
      </c>
      <c r="D102" s="35"/>
      <c r="E102" s="232">
        <f t="shared" si="16"/>
        <v>0</v>
      </c>
      <c r="F102" s="35">
        <v>2.9999999999999997E-4</v>
      </c>
      <c r="G102" s="532">
        <f t="shared" si="17"/>
        <v>2.6229390804150218E-6</v>
      </c>
      <c r="H102" s="180" t="s">
        <v>240</v>
      </c>
      <c r="I102" s="180" t="s">
        <v>240</v>
      </c>
      <c r="K102" s="233"/>
      <c r="O102" s="18"/>
      <c r="P102" s="18"/>
      <c r="Q102" s="18"/>
      <c r="R102" s="18"/>
      <c r="S102" s="18"/>
    </row>
    <row r="103" spans="1:19" x14ac:dyDescent="0.25">
      <c r="A103" s="21" t="s">
        <v>280</v>
      </c>
      <c r="B103" s="46">
        <v>1.6446000000000002E-2</v>
      </c>
      <c r="C103" s="232">
        <f t="shared" si="15"/>
        <v>1.6219670958998958E-4</v>
      </c>
      <c r="D103" s="35">
        <v>4.2999999999999997E-2</v>
      </c>
      <c r="E103" s="232">
        <f t="shared" si="16"/>
        <v>4.0129275778153775E-4</v>
      </c>
      <c r="F103" s="35">
        <v>2.6000000000000003E-4</v>
      </c>
      <c r="G103" s="532">
        <f t="shared" si="17"/>
        <v>2.2732138696930194E-6</v>
      </c>
      <c r="H103" s="180">
        <f t="shared" si="13"/>
        <v>-99.395348837209312</v>
      </c>
      <c r="I103" s="180">
        <f t="shared" si="14"/>
        <v>-98.419068466496412</v>
      </c>
      <c r="K103" s="233"/>
      <c r="O103" s="18"/>
      <c r="P103" s="18"/>
      <c r="Q103" s="18"/>
      <c r="R103" s="18"/>
      <c r="S103" s="18"/>
    </row>
    <row r="104" spans="1:19" x14ac:dyDescent="0.25">
      <c r="A104" s="21" t="s">
        <v>551</v>
      </c>
      <c r="B104" s="46"/>
      <c r="C104" s="232">
        <f t="shared" si="15"/>
        <v>0</v>
      </c>
      <c r="D104" s="35">
        <v>2.5999999999999998E-4</v>
      </c>
      <c r="E104" s="232">
        <f t="shared" si="16"/>
        <v>2.4264213261209256E-6</v>
      </c>
      <c r="F104" s="35">
        <v>1.6597000000000001E-4</v>
      </c>
      <c r="G104" s="532">
        <f t="shared" si="17"/>
        <v>1.4510973305882708E-6</v>
      </c>
      <c r="H104" s="180">
        <f t="shared" si="13"/>
        <v>-36.16538461538461</v>
      </c>
      <c r="I104" s="180" t="s">
        <v>240</v>
      </c>
      <c r="K104" s="233"/>
      <c r="O104" s="18"/>
      <c r="P104" s="18"/>
      <c r="Q104" s="18"/>
      <c r="R104" s="18"/>
      <c r="S104" s="18"/>
    </row>
    <row r="105" spans="1:19" x14ac:dyDescent="0.25">
      <c r="A105" s="21" t="s">
        <v>282</v>
      </c>
      <c r="B105" s="46"/>
      <c r="C105" s="232">
        <f t="shared" si="15"/>
        <v>0</v>
      </c>
      <c r="D105" s="35"/>
      <c r="E105" s="232">
        <f t="shared" si="16"/>
        <v>0</v>
      </c>
      <c r="F105" s="35">
        <v>1E-4</v>
      </c>
      <c r="G105" s="532">
        <f t="shared" si="17"/>
        <v>8.7431302680500737E-7</v>
      </c>
      <c r="H105" s="180" t="s">
        <v>240</v>
      </c>
      <c r="I105" s="180" t="s">
        <v>240</v>
      </c>
      <c r="K105" s="233"/>
      <c r="O105" s="18"/>
      <c r="P105" s="18"/>
      <c r="Q105" s="18"/>
      <c r="R105" s="18"/>
      <c r="S105" s="18"/>
    </row>
    <row r="106" spans="1:19" x14ac:dyDescent="0.25">
      <c r="A106" s="21" t="s">
        <v>560</v>
      </c>
      <c r="B106" s="46">
        <v>2.5000000000000001E-2</v>
      </c>
      <c r="C106" s="232">
        <f t="shared" si="15"/>
        <v>2.4655951232820989E-4</v>
      </c>
      <c r="D106" s="35"/>
      <c r="E106" s="232">
        <f t="shared" si="16"/>
        <v>0</v>
      </c>
      <c r="F106" s="35">
        <v>4.9999999999999996E-5</v>
      </c>
      <c r="G106" s="532">
        <f t="shared" si="17"/>
        <v>4.3715651340250363E-7</v>
      </c>
      <c r="H106" s="180" t="s">
        <v>240</v>
      </c>
      <c r="I106" s="180">
        <f t="shared" si="14"/>
        <v>-99.8</v>
      </c>
      <c r="K106" s="233"/>
      <c r="O106" s="18"/>
      <c r="P106" s="18"/>
      <c r="Q106" s="18"/>
      <c r="R106" s="18"/>
      <c r="S106" s="18"/>
    </row>
    <row r="107" spans="1:19" x14ac:dyDescent="0.25">
      <c r="A107" s="21" t="s">
        <v>271</v>
      </c>
      <c r="B107" s="46"/>
      <c r="C107" s="232">
        <f t="shared" si="15"/>
        <v>0</v>
      </c>
      <c r="D107" s="35">
        <v>8.2493777399999999</v>
      </c>
      <c r="E107" s="232">
        <f t="shared" si="16"/>
        <v>7.6986407982935573E-2</v>
      </c>
      <c r="F107" s="35">
        <v>3.0000000000000001E-5</v>
      </c>
      <c r="G107" s="532">
        <f t="shared" si="17"/>
        <v>2.6229390804150222E-7</v>
      </c>
      <c r="H107" s="180">
        <f t="shared" si="13"/>
        <v>-99.999636336206848</v>
      </c>
      <c r="I107" s="180" t="s">
        <v>240</v>
      </c>
      <c r="K107" s="233"/>
      <c r="O107" s="18"/>
      <c r="P107" s="18"/>
      <c r="Q107" s="18"/>
      <c r="R107" s="18"/>
      <c r="S107" s="18"/>
    </row>
    <row r="108" spans="1:19" x14ac:dyDescent="0.25">
      <c r="A108" s="21" t="s">
        <v>636</v>
      </c>
      <c r="B108" s="46">
        <v>1.1299999999999999E-2</v>
      </c>
      <c r="C108" s="232">
        <f t="shared" si="15"/>
        <v>1.1144489957235085E-4</v>
      </c>
      <c r="D108" s="35"/>
      <c r="E108" s="232">
        <f t="shared" si="16"/>
        <v>0</v>
      </c>
      <c r="F108" s="35"/>
      <c r="G108" s="532">
        <f t="shared" si="17"/>
        <v>0</v>
      </c>
      <c r="H108" s="180" t="s">
        <v>240</v>
      </c>
      <c r="I108" s="180">
        <f t="shared" si="14"/>
        <v>-100</v>
      </c>
      <c r="K108" s="233"/>
      <c r="O108" s="18"/>
      <c r="P108" s="18"/>
      <c r="Q108" s="18"/>
      <c r="R108" s="18"/>
      <c r="S108" s="18"/>
    </row>
    <row r="109" spans="1:19" x14ac:dyDescent="0.25">
      <c r="A109" s="21" t="s">
        <v>603</v>
      </c>
      <c r="B109" s="46"/>
      <c r="C109" s="232">
        <f t="shared" si="15"/>
        <v>0</v>
      </c>
      <c r="D109" s="35">
        <v>6.6E-3</v>
      </c>
      <c r="E109" s="232">
        <f t="shared" si="16"/>
        <v>6.1593772124608125E-5</v>
      </c>
      <c r="F109" s="35"/>
      <c r="G109" s="532">
        <f t="shared" si="17"/>
        <v>0</v>
      </c>
      <c r="H109" s="180">
        <f t="shared" si="13"/>
        <v>-100</v>
      </c>
      <c r="I109" s="180" t="s">
        <v>240</v>
      </c>
      <c r="K109" s="233"/>
      <c r="O109" s="18"/>
      <c r="P109" s="18"/>
      <c r="Q109" s="18"/>
      <c r="R109" s="18"/>
      <c r="S109" s="18"/>
    </row>
    <row r="110" spans="1:19" x14ac:dyDescent="0.25">
      <c r="A110" s="21" t="s">
        <v>555</v>
      </c>
      <c r="B110" s="46">
        <v>1.2418160000000001E-2</v>
      </c>
      <c r="C110" s="232">
        <f t="shared" si="15"/>
        <v>1.224726189445473E-4</v>
      </c>
      <c r="D110" s="35"/>
      <c r="E110" s="232">
        <f t="shared" si="16"/>
        <v>0</v>
      </c>
      <c r="F110" s="35"/>
      <c r="G110" s="532">
        <f t="shared" si="17"/>
        <v>0</v>
      </c>
      <c r="H110" s="180" t="s">
        <v>240</v>
      </c>
      <c r="I110" s="180">
        <f t="shared" si="14"/>
        <v>-100</v>
      </c>
      <c r="K110" s="233"/>
      <c r="O110" s="18"/>
      <c r="P110" s="18"/>
      <c r="Q110" s="18"/>
      <c r="R110" s="18"/>
      <c r="S110" s="18"/>
    </row>
    <row r="111" spans="1:19" x14ac:dyDescent="0.25">
      <c r="A111" s="21" t="s">
        <v>601</v>
      </c>
      <c r="B111" s="46">
        <v>4.3047809999999999E-2</v>
      </c>
      <c r="C111" s="232">
        <f t="shared" si="15"/>
        <v>4.245538816158974E-4</v>
      </c>
      <c r="D111" s="35">
        <v>1.7090199999999999E-3</v>
      </c>
      <c r="E111" s="232">
        <f t="shared" si="16"/>
        <v>1.594924067218148E-5</v>
      </c>
      <c r="F111" s="35"/>
      <c r="G111" s="532">
        <f t="shared" si="17"/>
        <v>0</v>
      </c>
      <c r="H111" s="180">
        <f t="shared" si="13"/>
        <v>-100</v>
      </c>
      <c r="I111" s="180">
        <f t="shared" si="14"/>
        <v>-100</v>
      </c>
      <c r="K111" s="233"/>
      <c r="O111" s="18"/>
      <c r="P111" s="18"/>
      <c r="Q111" s="18"/>
      <c r="R111" s="18"/>
      <c r="S111" s="18"/>
    </row>
    <row r="112" spans="1:19" x14ac:dyDescent="0.25">
      <c r="A112" s="21" t="s">
        <v>623</v>
      </c>
      <c r="B112" s="46">
        <v>0.12453549</v>
      </c>
      <c r="C112" s="232">
        <f t="shared" si="15"/>
        <v>1.2282163872781862E-3</v>
      </c>
      <c r="D112" s="35"/>
      <c r="E112" s="232">
        <f t="shared" si="16"/>
        <v>0</v>
      </c>
      <c r="F112" s="35"/>
      <c r="G112" s="532">
        <f t="shared" si="17"/>
        <v>0</v>
      </c>
      <c r="H112" s="180" t="s">
        <v>240</v>
      </c>
      <c r="I112" s="180">
        <f t="shared" si="14"/>
        <v>-100</v>
      </c>
      <c r="K112" s="233"/>
      <c r="O112" s="18"/>
      <c r="P112" s="18"/>
      <c r="Q112" s="18"/>
      <c r="R112" s="18"/>
      <c r="S112" s="18"/>
    </row>
    <row r="113" spans="1:19" x14ac:dyDescent="0.25">
      <c r="A113" s="21" t="s">
        <v>663</v>
      </c>
      <c r="B113" s="46"/>
      <c r="C113" s="232">
        <f t="shared" si="15"/>
        <v>0</v>
      </c>
      <c r="D113" s="35">
        <v>1.2E-4</v>
      </c>
      <c r="E113" s="232">
        <f t="shared" si="16"/>
        <v>1.1198867659019658E-6</v>
      </c>
      <c r="F113" s="35"/>
      <c r="G113" s="532">
        <f t="shared" si="17"/>
        <v>0</v>
      </c>
      <c r="H113" s="180">
        <f t="shared" si="13"/>
        <v>-100</v>
      </c>
      <c r="I113" s="180" t="s">
        <v>240</v>
      </c>
      <c r="K113" s="233"/>
      <c r="O113" s="18"/>
      <c r="P113" s="18"/>
      <c r="Q113" s="18"/>
      <c r="R113" s="18"/>
      <c r="S113" s="18"/>
    </row>
    <row r="114" spans="1:19" x14ac:dyDescent="0.25">
      <c r="A114" s="21" t="s">
        <v>579</v>
      </c>
      <c r="B114" s="46">
        <v>0.20344520000000002</v>
      </c>
      <c r="C114" s="232">
        <f t="shared" si="15"/>
        <v>2.0064539719006048E-3</v>
      </c>
      <c r="D114" s="35"/>
      <c r="E114" s="232">
        <f t="shared" si="16"/>
        <v>0</v>
      </c>
      <c r="F114" s="35"/>
      <c r="G114" s="532">
        <f t="shared" si="17"/>
        <v>0</v>
      </c>
      <c r="H114" s="180" t="s">
        <v>240</v>
      </c>
      <c r="I114" s="180">
        <f t="shared" si="14"/>
        <v>-100</v>
      </c>
      <c r="K114" s="233"/>
      <c r="O114" s="18"/>
      <c r="P114" s="18"/>
      <c r="Q114" s="18"/>
      <c r="R114" s="18"/>
      <c r="S114" s="18"/>
    </row>
    <row r="115" spans="1:19" x14ac:dyDescent="0.25">
      <c r="A115" s="21" t="s">
        <v>580</v>
      </c>
      <c r="B115" s="46"/>
      <c r="C115" s="232">
        <f t="shared" si="15"/>
        <v>0</v>
      </c>
      <c r="D115" s="35">
        <v>0.17605635000000003</v>
      </c>
      <c r="E115" s="232">
        <f t="shared" si="16"/>
        <v>1.6430264701500384E-3</v>
      </c>
      <c r="F115" s="35"/>
      <c r="G115" s="532">
        <f t="shared" si="17"/>
        <v>0</v>
      </c>
      <c r="H115" s="180">
        <f t="shared" si="13"/>
        <v>-100</v>
      </c>
      <c r="I115" s="180" t="s">
        <v>240</v>
      </c>
      <c r="K115" s="233"/>
      <c r="O115" s="18"/>
      <c r="P115" s="18"/>
      <c r="Q115" s="18"/>
      <c r="R115" s="18"/>
      <c r="S115" s="18"/>
    </row>
    <row r="116" spans="1:19" x14ac:dyDescent="0.25">
      <c r="A116" s="21" t="s">
        <v>333</v>
      </c>
      <c r="B116" s="46">
        <v>1.6889000000000001E-2</v>
      </c>
      <c r="C116" s="232">
        <f t="shared" si="15"/>
        <v>1.6656574414844548E-4</v>
      </c>
      <c r="D116" s="35"/>
      <c r="E116" s="232">
        <f t="shared" si="16"/>
        <v>0</v>
      </c>
      <c r="F116" s="35"/>
      <c r="G116" s="532">
        <f t="shared" si="17"/>
        <v>0</v>
      </c>
      <c r="H116" s="180" t="s">
        <v>240</v>
      </c>
      <c r="I116" s="180">
        <f t="shared" si="14"/>
        <v>-100</v>
      </c>
      <c r="K116" s="233"/>
      <c r="O116" s="18"/>
      <c r="P116" s="18"/>
      <c r="Q116" s="18"/>
      <c r="R116" s="18"/>
      <c r="S116" s="18"/>
    </row>
    <row r="117" spans="1:19" x14ac:dyDescent="0.25">
      <c r="A117" s="21" t="s">
        <v>278</v>
      </c>
      <c r="B117" s="46">
        <v>1.5E-3</v>
      </c>
      <c r="C117" s="232">
        <f t="shared" si="15"/>
        <v>1.4793570739692592E-5</v>
      </c>
      <c r="D117" s="35">
        <v>1.49391549</v>
      </c>
      <c r="E117" s="232">
        <f t="shared" si="16"/>
        <v>1.3941801555224589E-2</v>
      </c>
      <c r="F117" s="35"/>
      <c r="G117" s="532">
        <f t="shared" si="17"/>
        <v>0</v>
      </c>
      <c r="H117" s="180">
        <f t="shared" si="13"/>
        <v>-100</v>
      </c>
      <c r="I117" s="180">
        <f t="shared" si="14"/>
        <v>-100</v>
      </c>
      <c r="K117" s="233"/>
      <c r="O117" s="18"/>
      <c r="P117" s="18"/>
      <c r="Q117" s="18"/>
      <c r="R117" s="18"/>
      <c r="S117" s="18"/>
    </row>
    <row r="118" spans="1:19" x14ac:dyDescent="0.25">
      <c r="A118" s="21" t="s">
        <v>542</v>
      </c>
      <c r="B118" s="46">
        <v>7.4330000000000004E-3</v>
      </c>
      <c r="C118" s="232">
        <f t="shared" si="15"/>
        <v>7.3307074205423363E-5</v>
      </c>
      <c r="D118" s="35"/>
      <c r="E118" s="232">
        <f t="shared" si="16"/>
        <v>0</v>
      </c>
      <c r="F118" s="35"/>
      <c r="G118" s="532">
        <f t="shared" si="17"/>
        <v>0</v>
      </c>
      <c r="H118" s="180" t="s">
        <v>240</v>
      </c>
      <c r="I118" s="180">
        <f t="shared" si="14"/>
        <v>-100</v>
      </c>
      <c r="K118" s="233"/>
      <c r="O118" s="18"/>
      <c r="P118" s="18"/>
      <c r="Q118" s="18"/>
      <c r="R118" s="18"/>
      <c r="S118" s="18"/>
    </row>
    <row r="119" spans="1:19" x14ac:dyDescent="0.25">
      <c r="A119" s="21" t="s">
        <v>586</v>
      </c>
      <c r="B119" s="46"/>
      <c r="C119" s="232">
        <f t="shared" si="15"/>
        <v>0</v>
      </c>
      <c r="D119" s="35">
        <v>1.5394680000000001E-2</v>
      </c>
      <c r="E119" s="232">
        <f t="shared" si="16"/>
        <v>1.4366915331079729E-4</v>
      </c>
      <c r="F119" s="35"/>
      <c r="G119" s="532">
        <f t="shared" si="17"/>
        <v>0</v>
      </c>
      <c r="H119" s="180">
        <f t="shared" si="13"/>
        <v>-100</v>
      </c>
      <c r="I119" s="180" t="s">
        <v>240</v>
      </c>
      <c r="K119" s="233"/>
      <c r="O119" s="18"/>
      <c r="P119" s="18"/>
      <c r="Q119" s="18"/>
      <c r="R119" s="18"/>
      <c r="S119" s="18"/>
    </row>
    <row r="120" spans="1:19" x14ac:dyDescent="0.25">
      <c r="A120" s="21" t="s">
        <v>277</v>
      </c>
      <c r="B120" s="46">
        <v>9.5590999999999992E-4</v>
      </c>
      <c r="C120" s="232">
        <f t="shared" si="15"/>
        <v>9.4275481371863629E-6</v>
      </c>
      <c r="D120" s="35">
        <v>1.8164310000000003E-2</v>
      </c>
      <c r="E120" s="232">
        <f t="shared" si="16"/>
        <v>1.6951641983950616E-4</v>
      </c>
      <c r="F120" s="35"/>
      <c r="G120" s="532">
        <f t="shared" si="17"/>
        <v>0</v>
      </c>
      <c r="H120" s="180">
        <f t="shared" si="13"/>
        <v>-100</v>
      </c>
      <c r="I120" s="180">
        <f t="shared" si="14"/>
        <v>-100</v>
      </c>
      <c r="K120" s="233"/>
      <c r="O120" s="18"/>
      <c r="P120" s="18"/>
      <c r="Q120" s="18"/>
      <c r="R120" s="18"/>
      <c r="S120" s="18"/>
    </row>
    <row r="121" spans="1:19" x14ac:dyDescent="0.25">
      <c r="A121" s="21" t="s">
        <v>662</v>
      </c>
      <c r="B121" s="46">
        <v>7.6189079999999992E-2</v>
      </c>
      <c r="C121" s="232">
        <f t="shared" si="15"/>
        <v>7.5140569638139853E-4</v>
      </c>
      <c r="D121" s="35">
        <v>4.4178250000000002E-2</v>
      </c>
      <c r="E121" s="232">
        <f t="shared" si="16"/>
        <v>4.1228864596423774E-4</v>
      </c>
      <c r="F121" s="35"/>
      <c r="G121" s="532">
        <f t="shared" si="17"/>
        <v>0</v>
      </c>
      <c r="H121" s="180">
        <f t="shared" si="13"/>
        <v>-100</v>
      </c>
      <c r="I121" s="180">
        <f t="shared" si="14"/>
        <v>-100</v>
      </c>
      <c r="K121" s="233"/>
      <c r="O121" s="18"/>
      <c r="P121" s="18"/>
      <c r="Q121" s="18"/>
      <c r="R121" s="18"/>
      <c r="S121" s="18"/>
    </row>
    <row r="122" spans="1:19" x14ac:dyDescent="0.25">
      <c r="A122" s="21" t="s">
        <v>620</v>
      </c>
      <c r="B122" s="46">
        <v>0.35983348999999998</v>
      </c>
      <c r="C122" s="232">
        <f t="shared" si="15"/>
        <v>3.5488147925503109E-3</v>
      </c>
      <c r="D122" s="35">
        <v>0.47149999999999997</v>
      </c>
      <c r="E122" s="232">
        <f t="shared" si="16"/>
        <v>4.4002217510231405E-3</v>
      </c>
      <c r="F122" s="35"/>
      <c r="G122" s="532">
        <f t="shared" si="17"/>
        <v>0</v>
      </c>
      <c r="H122" s="180">
        <f t="shared" si="13"/>
        <v>-100</v>
      </c>
      <c r="I122" s="180">
        <f t="shared" si="14"/>
        <v>-100</v>
      </c>
      <c r="K122" s="233"/>
      <c r="O122" s="18"/>
      <c r="P122" s="18"/>
      <c r="Q122" s="18"/>
      <c r="R122" s="18"/>
      <c r="S122" s="18"/>
    </row>
    <row r="123" spans="1:19" x14ac:dyDescent="0.25">
      <c r="A123" s="21" t="s">
        <v>588</v>
      </c>
      <c r="B123" s="46">
        <v>5.27935E-2</v>
      </c>
      <c r="C123" s="232">
        <f t="shared" si="15"/>
        <v>5.206695845639738E-4</v>
      </c>
      <c r="D123" s="35"/>
      <c r="E123" s="232">
        <f t="shared" si="16"/>
        <v>0</v>
      </c>
      <c r="F123" s="35"/>
      <c r="G123" s="532">
        <f t="shared" si="17"/>
        <v>0</v>
      </c>
      <c r="H123" s="180" t="s">
        <v>240</v>
      </c>
      <c r="I123" s="180">
        <f t="shared" si="14"/>
        <v>-100</v>
      </c>
      <c r="K123" s="233"/>
      <c r="O123" s="18"/>
      <c r="P123" s="18"/>
      <c r="Q123" s="18"/>
      <c r="R123" s="18"/>
      <c r="S123" s="18"/>
    </row>
    <row r="124" spans="1:19" x14ac:dyDescent="0.25">
      <c r="A124" s="21" t="s">
        <v>537</v>
      </c>
      <c r="B124" s="46">
        <v>1.18373336</v>
      </c>
      <c r="C124" s="232">
        <f t="shared" si="15"/>
        <v>1.167442879872933E-2</v>
      </c>
      <c r="D124" s="35">
        <v>0.12950848000000001</v>
      </c>
      <c r="E124" s="232">
        <f t="shared" si="16"/>
        <v>1.2086236068673286E-3</v>
      </c>
      <c r="F124" s="35"/>
      <c r="G124" s="532">
        <f t="shared" si="17"/>
        <v>0</v>
      </c>
      <c r="H124" s="180">
        <f t="shared" si="13"/>
        <v>-100</v>
      </c>
      <c r="I124" s="180">
        <f t="shared" si="14"/>
        <v>-100</v>
      </c>
      <c r="K124" s="233"/>
      <c r="O124" s="18"/>
      <c r="P124" s="18"/>
      <c r="Q124" s="18"/>
      <c r="R124" s="18"/>
      <c r="S124" s="18"/>
    </row>
    <row r="125" spans="1:19" x14ac:dyDescent="0.25">
      <c r="A125" s="21" t="s">
        <v>609</v>
      </c>
      <c r="B125" s="46">
        <v>0.69884931000000006</v>
      </c>
      <c r="C125" s="232">
        <f t="shared" si="15"/>
        <v>6.8923178025802386E-3</v>
      </c>
      <c r="D125" s="35"/>
      <c r="E125" s="232">
        <f t="shared" si="16"/>
        <v>0</v>
      </c>
      <c r="F125" s="35"/>
      <c r="G125" s="532">
        <f t="shared" si="17"/>
        <v>0</v>
      </c>
      <c r="H125" s="180" t="s">
        <v>240</v>
      </c>
      <c r="I125" s="180">
        <f t="shared" si="14"/>
        <v>-100</v>
      </c>
      <c r="K125" s="233"/>
      <c r="O125" s="18"/>
      <c r="P125" s="18"/>
      <c r="Q125" s="18"/>
      <c r="R125" s="18"/>
      <c r="S125" s="18"/>
    </row>
    <row r="126" spans="1:19" x14ac:dyDescent="0.25">
      <c r="A126" s="21" t="s">
        <v>238</v>
      </c>
      <c r="B126" s="46"/>
      <c r="C126" s="232">
        <f t="shared" si="15"/>
        <v>0</v>
      </c>
      <c r="D126" s="35">
        <v>1.188E-3</v>
      </c>
      <c r="E126" s="232">
        <f t="shared" si="16"/>
        <v>1.1086878982429462E-5</v>
      </c>
      <c r="F126" s="35"/>
      <c r="G126" s="532">
        <f t="shared" si="17"/>
        <v>0</v>
      </c>
      <c r="H126" s="180">
        <f t="shared" si="13"/>
        <v>-100</v>
      </c>
      <c r="I126" s="180" t="s">
        <v>240</v>
      </c>
      <c r="K126" s="233"/>
      <c r="O126" s="18"/>
      <c r="P126" s="18"/>
      <c r="Q126" s="18"/>
      <c r="R126" s="18"/>
      <c r="S126" s="18"/>
    </row>
    <row r="127" spans="1:19" x14ac:dyDescent="0.25">
      <c r="A127" s="21" t="s">
        <v>279</v>
      </c>
      <c r="B127" s="46">
        <v>69.718860750000005</v>
      </c>
      <c r="C127" s="232">
        <f t="shared" si="15"/>
        <v>0.68759393226393484</v>
      </c>
      <c r="D127" s="35">
        <v>4.1148900000000004E-3</v>
      </c>
      <c r="E127" s="232">
        <f t="shared" si="16"/>
        <v>3.8401757117852842E-5</v>
      </c>
      <c r="F127" s="35"/>
      <c r="G127" s="532">
        <f t="shared" si="17"/>
        <v>0</v>
      </c>
      <c r="H127" s="180">
        <f t="shared" si="13"/>
        <v>-100</v>
      </c>
      <c r="I127" s="180">
        <f t="shared" si="14"/>
        <v>-100</v>
      </c>
      <c r="K127" s="233"/>
      <c r="O127" s="18"/>
      <c r="P127" s="18"/>
      <c r="Q127" s="18"/>
      <c r="R127" s="18"/>
      <c r="S127" s="18"/>
    </row>
    <row r="128" spans="1:19" x14ac:dyDescent="0.25">
      <c r="A128" s="21" t="s">
        <v>675</v>
      </c>
      <c r="B128" s="46">
        <v>0.13467999999999999</v>
      </c>
      <c r="C128" s="232">
        <f t="shared" si="15"/>
        <v>1.3282654048145321E-3</v>
      </c>
      <c r="D128" s="35"/>
      <c r="E128" s="232">
        <f t="shared" si="16"/>
        <v>0</v>
      </c>
      <c r="F128" s="35"/>
      <c r="G128" s="532">
        <f t="shared" si="17"/>
        <v>0</v>
      </c>
      <c r="H128" s="180" t="s">
        <v>240</v>
      </c>
      <c r="I128" s="180">
        <f t="shared" si="14"/>
        <v>-100</v>
      </c>
      <c r="K128" s="233"/>
      <c r="O128" s="18"/>
      <c r="P128" s="18"/>
      <c r="Q128" s="18"/>
      <c r="R128" s="18"/>
      <c r="S128" s="18"/>
    </row>
    <row r="129" spans="1:19" x14ac:dyDescent="0.25">
      <c r="A129" s="21" t="s">
        <v>582</v>
      </c>
      <c r="B129" s="46">
        <v>0.46953929999999999</v>
      </c>
      <c r="C129" s="232">
        <f t="shared" si="15"/>
        <v>4.630775233077161E-3</v>
      </c>
      <c r="D129" s="35"/>
      <c r="E129" s="232">
        <f t="shared" si="16"/>
        <v>0</v>
      </c>
      <c r="F129" s="35"/>
      <c r="G129" s="532">
        <f t="shared" si="17"/>
        <v>0</v>
      </c>
      <c r="H129" s="180" t="s">
        <v>240</v>
      </c>
      <c r="I129" s="180">
        <f t="shared" si="14"/>
        <v>-100</v>
      </c>
      <c r="K129" s="233"/>
      <c r="O129" s="18"/>
      <c r="P129" s="18"/>
      <c r="Q129" s="18"/>
      <c r="R129" s="18"/>
      <c r="S129" s="18"/>
    </row>
    <row r="130" spans="1:19" x14ac:dyDescent="0.25">
      <c r="A130" s="21" t="s">
        <v>676</v>
      </c>
      <c r="B130" s="46">
        <v>5.4103999999999999E-2</v>
      </c>
      <c r="C130" s="232">
        <f t="shared" si="15"/>
        <v>5.3359423420021855E-4</v>
      </c>
      <c r="D130" s="35"/>
      <c r="E130" s="232">
        <f t="shared" si="16"/>
        <v>0</v>
      </c>
      <c r="F130" s="35"/>
      <c r="G130" s="532">
        <f t="shared" si="17"/>
        <v>0</v>
      </c>
      <c r="H130" s="180" t="s">
        <v>240</v>
      </c>
      <c r="I130" s="180">
        <f t="shared" si="14"/>
        <v>-100</v>
      </c>
      <c r="K130" s="233"/>
      <c r="L130" s="43"/>
      <c r="O130" s="18"/>
      <c r="P130" s="18"/>
      <c r="Q130" s="18"/>
      <c r="R130" s="18"/>
      <c r="S130" s="18"/>
    </row>
    <row r="131" spans="1:19" x14ac:dyDescent="0.25">
      <c r="A131" s="21" t="s">
        <v>286</v>
      </c>
      <c r="B131" s="46"/>
      <c r="C131" s="232">
        <f t="shared" si="15"/>
        <v>0</v>
      </c>
      <c r="D131" s="35">
        <v>0.45740304999999998</v>
      </c>
      <c r="E131" s="232">
        <f t="shared" si="16"/>
        <v>4.2686635198182932E-3</v>
      </c>
      <c r="F131" s="35"/>
      <c r="G131" s="532">
        <f t="shared" si="17"/>
        <v>0</v>
      </c>
      <c r="H131" s="180">
        <f t="shared" si="13"/>
        <v>-100</v>
      </c>
      <c r="I131" s="180" t="s">
        <v>240</v>
      </c>
      <c r="K131" s="233"/>
      <c r="O131" s="18"/>
      <c r="P131" s="18"/>
      <c r="Q131" s="18"/>
      <c r="R131" s="18"/>
      <c r="S131" s="18"/>
    </row>
    <row r="132" spans="1:19" x14ac:dyDescent="0.25">
      <c r="A132" s="21" t="s">
        <v>591</v>
      </c>
      <c r="B132" s="46"/>
      <c r="C132" s="180">
        <f t="shared" ref="C132:C141" si="18">(B132/$B$142)*100</f>
        <v>0</v>
      </c>
      <c r="D132" s="35">
        <v>5.0000000000000002E-5</v>
      </c>
      <c r="E132" s="180">
        <f t="shared" ref="E132:E141" si="19">(D132/$D$142)*100</f>
        <v>4.6661948579248579E-7</v>
      </c>
      <c r="F132" s="35"/>
      <c r="G132" s="532">
        <f t="shared" ref="G132:G141" si="20">(F132/$F$142)*100</f>
        <v>0</v>
      </c>
      <c r="H132" s="180">
        <f t="shared" si="13"/>
        <v>-100</v>
      </c>
      <c r="I132" s="180" t="s">
        <v>240</v>
      </c>
      <c r="O132" s="18"/>
      <c r="P132" s="18"/>
      <c r="Q132" s="18"/>
      <c r="R132" s="18"/>
      <c r="S132" s="18"/>
    </row>
    <row r="133" spans="1:19" x14ac:dyDescent="0.25">
      <c r="A133" s="21" t="s">
        <v>573</v>
      </c>
      <c r="B133" s="46"/>
      <c r="C133" s="180">
        <f t="shared" si="18"/>
        <v>0</v>
      </c>
      <c r="D133" s="35">
        <v>1.2E-4</v>
      </c>
      <c r="E133" s="180">
        <f t="shared" si="19"/>
        <v>1.1198867659019658E-6</v>
      </c>
      <c r="F133" s="35"/>
      <c r="G133" s="532">
        <f t="shared" si="20"/>
        <v>0</v>
      </c>
      <c r="H133" s="180">
        <f t="shared" ref="H133:H141" si="21">((F133/D133)-1)*100</f>
        <v>-100</v>
      </c>
      <c r="I133" s="180" t="s">
        <v>240</v>
      </c>
      <c r="O133" s="18"/>
      <c r="P133" s="18"/>
      <c r="Q133" s="18"/>
      <c r="R133" s="18"/>
      <c r="S133" s="18"/>
    </row>
    <row r="134" spans="1:19" x14ac:dyDescent="0.25">
      <c r="A134" s="21" t="s">
        <v>564</v>
      </c>
      <c r="B134" s="46"/>
      <c r="C134" s="180">
        <f t="shared" si="18"/>
        <v>0</v>
      </c>
      <c r="D134" s="35">
        <v>6.4418000000000003E-2</v>
      </c>
      <c r="E134" s="180">
        <f t="shared" si="19"/>
        <v>6.0117388071560698E-4</v>
      </c>
      <c r="F134" s="35"/>
      <c r="G134" s="532">
        <f t="shared" si="20"/>
        <v>0</v>
      </c>
      <c r="H134" s="180">
        <f t="shared" si="21"/>
        <v>-100</v>
      </c>
      <c r="I134" s="180" t="s">
        <v>240</v>
      </c>
      <c r="O134" s="18"/>
      <c r="P134" s="18"/>
      <c r="Q134" s="18"/>
      <c r="R134" s="18"/>
      <c r="S134" s="18"/>
    </row>
    <row r="135" spans="1:19" x14ac:dyDescent="0.25">
      <c r="A135" s="21" t="s">
        <v>287</v>
      </c>
      <c r="B135" s="46">
        <v>4.0749999999999996E-3</v>
      </c>
      <c r="C135" s="180">
        <f t="shared" si="18"/>
        <v>4.0189200509498203E-5</v>
      </c>
      <c r="D135" s="35">
        <v>2.5599999999999999E-4</v>
      </c>
      <c r="E135" s="180">
        <f t="shared" si="19"/>
        <v>2.3890917672575273E-6</v>
      </c>
      <c r="F135" s="35"/>
      <c r="G135" s="532">
        <f t="shared" si="20"/>
        <v>0</v>
      </c>
      <c r="H135" s="180">
        <f t="shared" si="21"/>
        <v>-100</v>
      </c>
      <c r="I135" s="180">
        <f t="shared" ref="I135:I141" si="22">((F135/B135)-1)*100</f>
        <v>-100</v>
      </c>
      <c r="O135" s="18"/>
      <c r="P135" s="18"/>
      <c r="Q135" s="18"/>
      <c r="R135" s="18"/>
      <c r="S135" s="18"/>
    </row>
    <row r="136" spans="1:19" x14ac:dyDescent="0.25">
      <c r="A136" s="21" t="s">
        <v>554</v>
      </c>
      <c r="B136" s="46">
        <v>9.1500000000000001E-4</v>
      </c>
      <c r="C136" s="180">
        <f t="shared" si="18"/>
        <v>9.0240781512124814E-6</v>
      </c>
      <c r="D136" s="35"/>
      <c r="E136" s="180">
        <f t="shared" si="19"/>
        <v>0</v>
      </c>
      <c r="F136" s="35"/>
      <c r="G136" s="532">
        <f t="shared" si="20"/>
        <v>0</v>
      </c>
      <c r="H136" s="180" t="s">
        <v>240</v>
      </c>
      <c r="I136" s="180">
        <f t="shared" si="22"/>
        <v>-100</v>
      </c>
      <c r="O136" s="18"/>
      <c r="P136" s="18"/>
      <c r="Q136" s="18"/>
      <c r="R136" s="18"/>
      <c r="S136" s="18"/>
    </row>
    <row r="137" spans="1:19" x14ac:dyDescent="0.25">
      <c r="A137" s="21" t="s">
        <v>589</v>
      </c>
      <c r="B137" s="46"/>
      <c r="C137" s="180">
        <f t="shared" si="18"/>
        <v>0</v>
      </c>
      <c r="D137" s="35">
        <v>0.32943071999999995</v>
      </c>
      <c r="E137" s="180">
        <f t="shared" si="19"/>
        <v>3.0743758634129664E-3</v>
      </c>
      <c r="F137" s="35"/>
      <c r="G137" s="532">
        <f t="shared" si="20"/>
        <v>0</v>
      </c>
      <c r="H137" s="180">
        <f t="shared" si="21"/>
        <v>-100</v>
      </c>
      <c r="I137" s="180" t="s">
        <v>240</v>
      </c>
      <c r="O137" s="18"/>
      <c r="P137" s="18"/>
      <c r="Q137" s="18"/>
      <c r="R137" s="18"/>
      <c r="S137" s="18"/>
    </row>
    <row r="138" spans="1:19" x14ac:dyDescent="0.25">
      <c r="A138" s="21" t="s">
        <v>608</v>
      </c>
      <c r="B138" s="46">
        <v>0.16384866000000001</v>
      </c>
      <c r="C138" s="180">
        <f t="shared" si="18"/>
        <v>1.6159378282092267E-3</v>
      </c>
      <c r="D138" s="35">
        <v>2.1721124300000003</v>
      </c>
      <c r="E138" s="180">
        <f t="shared" si="19"/>
        <v>2.0270999703401339E-2</v>
      </c>
      <c r="F138" s="35"/>
      <c r="G138" s="532">
        <f t="shared" si="20"/>
        <v>0</v>
      </c>
      <c r="H138" s="180">
        <f t="shared" si="21"/>
        <v>-100</v>
      </c>
      <c r="I138" s="180">
        <f t="shared" si="22"/>
        <v>-100</v>
      </c>
      <c r="O138" s="18"/>
      <c r="P138" s="18"/>
      <c r="Q138" s="18"/>
      <c r="R138" s="18"/>
      <c r="S138" s="18"/>
    </row>
    <row r="139" spans="1:19" x14ac:dyDescent="0.25">
      <c r="A139" s="21" t="s">
        <v>618</v>
      </c>
      <c r="B139" s="46">
        <v>0.8424122300000001</v>
      </c>
      <c r="C139" s="180">
        <f t="shared" si="18"/>
        <v>8.3081899443247908E-3</v>
      </c>
      <c r="D139" s="35"/>
      <c r="E139" s="180">
        <f t="shared" si="19"/>
        <v>0</v>
      </c>
      <c r="F139" s="35"/>
      <c r="G139" s="532">
        <f t="shared" si="20"/>
        <v>0</v>
      </c>
      <c r="H139" s="180" t="s">
        <v>240</v>
      </c>
      <c r="I139" s="180">
        <f t="shared" si="22"/>
        <v>-100</v>
      </c>
      <c r="O139" s="18"/>
      <c r="P139" s="18"/>
      <c r="Q139" s="18"/>
      <c r="R139" s="18"/>
      <c r="S139" s="18"/>
    </row>
    <row r="140" spans="1:19" x14ac:dyDescent="0.25">
      <c r="A140" s="21" t="s">
        <v>677</v>
      </c>
      <c r="B140" s="46">
        <v>8.0906099999999998E-3</v>
      </c>
      <c r="C140" s="180">
        <f t="shared" si="18"/>
        <v>7.9792674241509505E-5</v>
      </c>
      <c r="D140" s="35"/>
      <c r="E140" s="180">
        <f t="shared" si="19"/>
        <v>0</v>
      </c>
      <c r="F140" s="35"/>
      <c r="G140" s="532">
        <f t="shared" si="20"/>
        <v>0</v>
      </c>
      <c r="H140" s="180" t="s">
        <v>240</v>
      </c>
      <c r="I140" s="180">
        <f t="shared" si="22"/>
        <v>-100</v>
      </c>
      <c r="O140" s="18"/>
      <c r="P140" s="18"/>
      <c r="Q140" s="18"/>
      <c r="R140" s="18"/>
      <c r="S140" s="18"/>
    </row>
    <row r="141" spans="1:19" x14ac:dyDescent="0.25">
      <c r="A141" s="52" t="s">
        <v>539</v>
      </c>
      <c r="B141" s="47">
        <v>7.8819408900000001</v>
      </c>
      <c r="C141" s="358">
        <f t="shared" si="18"/>
        <v>7.7734700081527053E-2</v>
      </c>
      <c r="D141" s="535">
        <v>11.47760059</v>
      </c>
      <c r="E141" s="358">
        <f t="shared" si="19"/>
        <v>0.10711344170874662</v>
      </c>
      <c r="F141" s="535"/>
      <c r="G141" s="536">
        <f t="shared" si="20"/>
        <v>0</v>
      </c>
      <c r="H141" s="358">
        <f t="shared" si="21"/>
        <v>-100</v>
      </c>
      <c r="I141" s="358">
        <f t="shared" si="22"/>
        <v>-100</v>
      </c>
      <c r="O141" s="18"/>
      <c r="P141" s="18"/>
      <c r="Q141" s="18"/>
      <c r="R141" s="18"/>
      <c r="S141" s="18"/>
    </row>
    <row r="142" spans="1:19" ht="13" x14ac:dyDescent="0.3">
      <c r="A142" s="36" t="s">
        <v>217</v>
      </c>
      <c r="B142" s="59">
        <f>SUM(Table12[Column2])</f>
        <v>10139.539847370006</v>
      </c>
      <c r="C142" s="25">
        <f>SUM(Table12[Column3])</f>
        <v>100.00000000000001</v>
      </c>
      <c r="D142" s="25">
        <f>SUM(Table12[Column4])</f>
        <v>10715.369058170005</v>
      </c>
      <c r="E142" s="25">
        <f>SUM(Table12[Column5])</f>
        <v>99.999999999999986</v>
      </c>
      <c r="F142" s="25">
        <f>SUM(Table12[Column6])</f>
        <v>11437.551189810007</v>
      </c>
      <c r="G142" s="25">
        <f>SUM(Table12[Column7])</f>
        <v>100</v>
      </c>
      <c r="H142" s="231">
        <f>((F142/D142)-1)*100</f>
        <v>6.7396850982875733</v>
      </c>
      <c r="I142" s="231">
        <f>((F142/B142)-1)*100</f>
        <v>12.801481743539656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89143B-99A5-4B32-818D-11814CE2125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T183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3.54296875" style="1" bestFit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20" ht="13" x14ac:dyDescent="0.3">
      <c r="A1" s="19" t="s">
        <v>638</v>
      </c>
      <c r="B1" s="19"/>
      <c r="D1" s="12"/>
      <c r="E1" s="12"/>
      <c r="F1" s="246"/>
      <c r="K1" s="245" t="s">
        <v>239</v>
      </c>
      <c r="L1" s="3"/>
      <c r="M1" s="3"/>
      <c r="N1" s="3"/>
      <c r="O1" s="3"/>
      <c r="P1" s="3"/>
    </row>
    <row r="2" spans="1:20" ht="14.15" customHeight="1" x14ac:dyDescent="0.3">
      <c r="A2" s="606" t="s">
        <v>626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06" t="s">
        <v>233</v>
      </c>
      <c r="I2" s="606" t="s">
        <v>299</v>
      </c>
    </row>
    <row r="3" spans="1:20" ht="18.649999999999999" customHeight="1" x14ac:dyDescent="0.3">
      <c r="A3" s="608"/>
      <c r="B3" s="244" t="s">
        <v>624</v>
      </c>
      <c r="C3" s="243" t="s">
        <v>234</v>
      </c>
      <c r="D3" s="244" t="s">
        <v>624</v>
      </c>
      <c r="E3" s="243" t="s">
        <v>234</v>
      </c>
      <c r="F3" s="244" t="s">
        <v>624</v>
      </c>
      <c r="G3" s="243" t="s">
        <v>234</v>
      </c>
      <c r="H3" s="607"/>
      <c r="I3" s="607"/>
    </row>
    <row r="4" spans="1:20" ht="14.5" x14ac:dyDescent="0.35">
      <c r="A4" s="528" t="s">
        <v>235</v>
      </c>
      <c r="B4" s="502">
        <v>3959.7236549900017</v>
      </c>
      <c r="C4" s="240">
        <f t="shared" ref="C4:C35" si="0">(B4/$B$183)*100</f>
        <v>30.263818184016976</v>
      </c>
      <c r="D4" s="502">
        <v>4244.7114065000096</v>
      </c>
      <c r="E4" s="240">
        <f t="shared" ref="E4:E35" si="1">(D4/$D$183)*100</f>
        <v>38.219618425057419</v>
      </c>
      <c r="F4" s="502">
        <v>3509.7632255799876</v>
      </c>
      <c r="G4" s="240">
        <f>(F4/Table223729[[#Totals],[Column6]])*100</f>
        <v>31.213687658128535</v>
      </c>
      <c r="H4" s="240">
        <f>((F4/D4)-1)*100</f>
        <v>-17.314444034866106</v>
      </c>
      <c r="I4" s="239">
        <f>((F4/B4)-1)*100</f>
        <v>-11.363430092980821</v>
      </c>
      <c r="K4" s="241"/>
      <c r="P4" s="4"/>
      <c r="Q4" s="4"/>
      <c r="R4" s="4"/>
      <c r="S4" s="4"/>
      <c r="T4" s="4"/>
    </row>
    <row r="5" spans="1:20" ht="14.5" x14ac:dyDescent="0.35">
      <c r="A5" s="529" t="s">
        <v>246</v>
      </c>
      <c r="B5" s="503">
        <v>1838.4190982700056</v>
      </c>
      <c r="C5" s="240">
        <f t="shared" si="0"/>
        <v>14.050874804344996</v>
      </c>
      <c r="D5" s="503">
        <v>1281.8854174899993</v>
      </c>
      <c r="E5" s="240">
        <f t="shared" si="1"/>
        <v>11.542167848228504</v>
      </c>
      <c r="F5" s="503">
        <v>1836.1717855800018</v>
      </c>
      <c r="G5" s="240">
        <f>(F5/Table223729[[#Totals],[Column6]])*100</f>
        <v>16.329788911128404</v>
      </c>
      <c r="H5" s="240">
        <f t="shared" ref="H5:H68" si="2">((F5/D5)-1)*100</f>
        <v>43.239930849305154</v>
      </c>
      <c r="I5" s="239">
        <f t="shared" ref="I5:I68" si="3">((F5/B5)-1)*100</f>
        <v>-0.12224158746602098</v>
      </c>
      <c r="K5" s="241"/>
      <c r="P5" s="4"/>
      <c r="Q5" s="4"/>
      <c r="R5" s="4"/>
      <c r="S5" s="4"/>
      <c r="T5" s="4"/>
    </row>
    <row r="6" spans="1:20" ht="14.5" x14ac:dyDescent="0.35">
      <c r="A6" s="529" t="s">
        <v>247</v>
      </c>
      <c r="B6" s="503">
        <v>152.76634825999983</v>
      </c>
      <c r="C6" s="240">
        <f t="shared" si="0"/>
        <v>1.1675797078795203</v>
      </c>
      <c r="D6" s="503">
        <v>609.51152189999971</v>
      </c>
      <c r="E6" s="240">
        <f t="shared" si="1"/>
        <v>5.488075763412672</v>
      </c>
      <c r="F6" s="503">
        <v>841.92504431999998</v>
      </c>
      <c r="G6" s="240">
        <f>(F6/Table223729[[#Totals],[Column6]])*100</f>
        <v>7.4875664470550749</v>
      </c>
      <c r="H6" s="240">
        <f t="shared" si="2"/>
        <v>38.131112221719654</v>
      </c>
      <c r="I6" s="239">
        <f t="shared" si="3"/>
        <v>451.1194408385611</v>
      </c>
      <c r="K6" s="241"/>
      <c r="P6" s="4"/>
      <c r="Q6" s="4"/>
      <c r="R6" s="4"/>
      <c r="S6" s="4"/>
      <c r="T6" s="4"/>
    </row>
    <row r="7" spans="1:20" ht="14.5" x14ac:dyDescent="0.35">
      <c r="A7" s="529" t="s">
        <v>521</v>
      </c>
      <c r="B7" s="503">
        <v>203.9310877099999</v>
      </c>
      <c r="C7" s="240">
        <f t="shared" si="0"/>
        <v>1.5586272927775409</v>
      </c>
      <c r="D7" s="503">
        <v>617.54900724000026</v>
      </c>
      <c r="E7" s="240">
        <f t="shared" si="1"/>
        <v>5.5604457300307581</v>
      </c>
      <c r="F7" s="503">
        <v>696.95077622999918</v>
      </c>
      <c r="G7" s="240">
        <f>(F7/Table223729[[#Totals],[Column6]])*100</f>
        <v>6.1982539687526987</v>
      </c>
      <c r="H7" s="240">
        <f t="shared" si="2"/>
        <v>12.85756564403977</v>
      </c>
      <c r="I7" s="239">
        <f t="shared" si="3"/>
        <v>241.75798504105353</v>
      </c>
      <c r="K7" s="241"/>
      <c r="P7" s="4"/>
      <c r="Q7" s="4"/>
      <c r="R7" s="4"/>
      <c r="S7" s="4"/>
      <c r="T7" s="4"/>
    </row>
    <row r="8" spans="1:20" ht="14.5" x14ac:dyDescent="0.35">
      <c r="A8" s="529" t="s">
        <v>522</v>
      </c>
      <c r="B8" s="503">
        <v>508.50715493999991</v>
      </c>
      <c r="C8" s="240">
        <f t="shared" si="0"/>
        <v>3.8864752753597811</v>
      </c>
      <c r="D8" s="503">
        <v>570.66791253999963</v>
      </c>
      <c r="E8" s="240">
        <f t="shared" si="1"/>
        <v>5.1383257366575403</v>
      </c>
      <c r="F8" s="503">
        <v>503.0455571300007</v>
      </c>
      <c r="G8" s="240">
        <f>(F8/Table223729[[#Totals],[Column6]])*100</f>
        <v>4.4737795369288369</v>
      </c>
      <c r="H8" s="240">
        <f t="shared" si="2"/>
        <v>-11.84968594239283</v>
      </c>
      <c r="I8" s="239">
        <f t="shared" si="3"/>
        <v>-1.0740454203921002</v>
      </c>
      <c r="K8" s="241"/>
      <c r="P8" s="4"/>
      <c r="Q8" s="4"/>
      <c r="R8" s="4"/>
      <c r="S8" s="4"/>
      <c r="T8" s="4"/>
    </row>
    <row r="9" spans="1:20" ht="14.5" x14ac:dyDescent="0.35">
      <c r="A9" s="529" t="s">
        <v>520</v>
      </c>
      <c r="B9" s="503">
        <v>350.18521791000001</v>
      </c>
      <c r="C9" s="240">
        <f t="shared" si="0"/>
        <v>2.676434693164305</v>
      </c>
      <c r="D9" s="503">
        <v>257.92187918000002</v>
      </c>
      <c r="E9" s="240">
        <f t="shared" si="1"/>
        <v>2.3223429961900615</v>
      </c>
      <c r="F9" s="503">
        <v>450.91971742000015</v>
      </c>
      <c r="G9" s="240">
        <f>(F9/Table223729[[#Totals],[Column6]])*100</f>
        <v>4.0102041972115083</v>
      </c>
      <c r="H9" s="240">
        <f t="shared" si="2"/>
        <v>74.828021125462456</v>
      </c>
      <c r="I9" s="239">
        <f t="shared" si="3"/>
        <v>28.766062745655251</v>
      </c>
      <c r="K9" s="241"/>
      <c r="P9" s="4"/>
      <c r="Q9" s="4"/>
      <c r="R9" s="4"/>
      <c r="S9" s="4"/>
      <c r="T9" s="4"/>
    </row>
    <row r="10" spans="1:20" ht="14.5" x14ac:dyDescent="0.35">
      <c r="A10" s="529" t="s">
        <v>250</v>
      </c>
      <c r="B10" s="503">
        <v>68.363941350000005</v>
      </c>
      <c r="C10" s="240">
        <f t="shared" si="0"/>
        <v>0.52249956603712144</v>
      </c>
      <c r="D10" s="503">
        <v>217.20034381000008</v>
      </c>
      <c r="E10" s="240">
        <f t="shared" si="1"/>
        <v>1.9556840188234046</v>
      </c>
      <c r="F10" s="503">
        <v>437.42935386999972</v>
      </c>
      <c r="G10" s="240">
        <f>(F10/Table223729[[#Totals],[Column6]])*100</f>
        <v>3.8902291541159069</v>
      </c>
      <c r="H10" s="240">
        <f t="shared" si="2"/>
        <v>101.39441135169149</v>
      </c>
      <c r="I10" s="239">
        <f t="shared" si="3"/>
        <v>539.85391308922783</v>
      </c>
      <c r="K10" s="241"/>
      <c r="P10" s="4"/>
      <c r="Q10" s="4"/>
      <c r="R10" s="4"/>
      <c r="S10" s="4"/>
      <c r="T10" s="4"/>
    </row>
    <row r="11" spans="1:20" ht="14.5" x14ac:dyDescent="0.35">
      <c r="A11" s="529" t="s">
        <v>616</v>
      </c>
      <c r="B11" s="503">
        <v>561.95452253999997</v>
      </c>
      <c r="C11" s="240">
        <f t="shared" si="0"/>
        <v>4.2949687856132908</v>
      </c>
      <c r="D11" s="503">
        <v>260.89181828109986</v>
      </c>
      <c r="E11" s="240">
        <f t="shared" si="1"/>
        <v>2.3490844936251696</v>
      </c>
      <c r="F11" s="503">
        <v>371.8801116800002</v>
      </c>
      <c r="G11" s="240">
        <f>(F11/Table223729[[#Totals],[Column6]])*100</f>
        <v>3.3072742821081058</v>
      </c>
      <c r="H11" s="240">
        <f t="shared" si="2"/>
        <v>42.541883501810382</v>
      </c>
      <c r="I11" s="239">
        <f t="shared" si="3"/>
        <v>-33.823806595749971</v>
      </c>
      <c r="K11" s="241"/>
      <c r="P11" s="4"/>
      <c r="Q11" s="4"/>
      <c r="R11" s="4"/>
      <c r="S11" s="4"/>
      <c r="T11" s="4"/>
    </row>
    <row r="12" spans="1:20" ht="14.5" x14ac:dyDescent="0.35">
      <c r="A12" s="529" t="s">
        <v>255</v>
      </c>
      <c r="B12" s="503">
        <v>41.939803920000053</v>
      </c>
      <c r="C12" s="240">
        <f t="shared" si="0"/>
        <v>0.32054221736122868</v>
      </c>
      <c r="D12" s="503">
        <v>81.174984719999856</v>
      </c>
      <c r="E12" s="240">
        <f t="shared" si="1"/>
        <v>0.73090409324586292</v>
      </c>
      <c r="F12" s="503">
        <v>365.29987285999971</v>
      </c>
      <c r="G12" s="240">
        <f>(F12/Table223729[[#Totals],[Column6]])*100</f>
        <v>3.2487536623277089</v>
      </c>
      <c r="H12" s="240">
        <f t="shared" si="2"/>
        <v>350.0153269138803</v>
      </c>
      <c r="I12" s="239">
        <f t="shared" si="3"/>
        <v>771.00996837469063</v>
      </c>
      <c r="J12" s="2"/>
      <c r="K12" s="241"/>
      <c r="P12" s="4"/>
      <c r="Q12" s="4"/>
      <c r="R12" s="4"/>
      <c r="S12" s="4"/>
      <c r="T12" s="4"/>
    </row>
    <row r="13" spans="1:20" ht="14.5" x14ac:dyDescent="0.35">
      <c r="A13" s="529" t="s">
        <v>524</v>
      </c>
      <c r="B13" s="503">
        <v>209.14260492000008</v>
      </c>
      <c r="C13" s="240">
        <f t="shared" si="0"/>
        <v>1.5984584585477997</v>
      </c>
      <c r="D13" s="503">
        <v>260.04093123999996</v>
      </c>
      <c r="E13" s="240">
        <f t="shared" si="1"/>
        <v>2.3414230592143719</v>
      </c>
      <c r="F13" s="503">
        <v>233.28035018000003</v>
      </c>
      <c r="G13" s="240">
        <f>(F13/Table223729[[#Totals],[Column6]])*100</f>
        <v>2.0746527669524193</v>
      </c>
      <c r="H13" s="240">
        <f t="shared" si="2"/>
        <v>-10.290911100953471</v>
      </c>
      <c r="I13" s="239">
        <f t="shared" si="3"/>
        <v>11.541285559311532</v>
      </c>
      <c r="K13" s="241"/>
      <c r="P13" s="4"/>
      <c r="Q13" s="4"/>
      <c r="R13" s="4"/>
      <c r="S13" s="4"/>
      <c r="T13" s="4"/>
    </row>
    <row r="14" spans="1:20" ht="14.5" x14ac:dyDescent="0.35">
      <c r="A14" s="529" t="s">
        <v>249</v>
      </c>
      <c r="B14" s="503">
        <v>322.01535954000002</v>
      </c>
      <c r="C14" s="240">
        <f t="shared" si="0"/>
        <v>2.4611349535208977</v>
      </c>
      <c r="D14" s="503">
        <v>235.32785546000002</v>
      </c>
      <c r="E14" s="240">
        <f t="shared" si="1"/>
        <v>2.1189051455171635</v>
      </c>
      <c r="F14" s="503">
        <v>216.91952977999981</v>
      </c>
      <c r="G14" s="240">
        <f>(F14/Table223729[[#Totals],[Column6]])*100</f>
        <v>1.9291496361217193</v>
      </c>
      <c r="H14" s="240">
        <f t="shared" si="2"/>
        <v>-7.8224167912536728</v>
      </c>
      <c r="I14" s="239">
        <f t="shared" si="3"/>
        <v>-32.636899652901633</v>
      </c>
      <c r="K14" s="241"/>
      <c r="P14" s="4"/>
      <c r="Q14" s="4"/>
      <c r="R14" s="4"/>
      <c r="S14" s="4"/>
      <c r="T14" s="4"/>
    </row>
    <row r="15" spans="1:20" ht="14.5" x14ac:dyDescent="0.35">
      <c r="A15" s="529" t="s">
        <v>257</v>
      </c>
      <c r="B15" s="503">
        <v>181.80831893000004</v>
      </c>
      <c r="C15" s="240">
        <f t="shared" si="0"/>
        <v>1.3895449248094527</v>
      </c>
      <c r="D15" s="503">
        <v>244.11560167999968</v>
      </c>
      <c r="E15" s="240">
        <f t="shared" si="1"/>
        <v>2.1980305029749903</v>
      </c>
      <c r="F15" s="503">
        <v>206.48919004999968</v>
      </c>
      <c r="G15" s="240">
        <f>(F15/Table223729[[#Totals],[Column6]])*100</f>
        <v>1.8363885734586982</v>
      </c>
      <c r="H15" s="240">
        <f t="shared" si="2"/>
        <v>-15.413358003771837</v>
      </c>
      <c r="I15" s="239">
        <f t="shared" si="3"/>
        <v>13.575215515579497</v>
      </c>
      <c r="K15" s="241"/>
      <c r="P15" s="4"/>
      <c r="Q15" s="4"/>
      <c r="R15" s="4"/>
      <c r="S15" s="4"/>
      <c r="T15" s="4"/>
    </row>
    <row r="16" spans="1:20" ht="14.5" x14ac:dyDescent="0.35">
      <c r="A16" s="529" t="s">
        <v>572</v>
      </c>
      <c r="B16" s="503">
        <v>14.833848340000001</v>
      </c>
      <c r="C16" s="240">
        <f t="shared" si="0"/>
        <v>0.11337379278104588</v>
      </c>
      <c r="D16" s="503"/>
      <c r="E16" s="240">
        <f t="shared" si="1"/>
        <v>0</v>
      </c>
      <c r="F16" s="503">
        <v>147.81251180000001</v>
      </c>
      <c r="G16" s="240">
        <f>(F16/Table223729[[#Totals],[Column6]])*100</f>
        <v>1.3145540820709392</v>
      </c>
      <c r="H16" s="240" t="s">
        <v>240</v>
      </c>
      <c r="I16" s="239">
        <f t="shared" si="3"/>
        <v>896.45424715188915</v>
      </c>
      <c r="K16" s="241"/>
      <c r="P16" s="4"/>
      <c r="Q16" s="4"/>
      <c r="R16" s="4"/>
      <c r="S16" s="4"/>
      <c r="T16" s="4"/>
    </row>
    <row r="17" spans="1:20" ht="14.5" x14ac:dyDescent="0.35">
      <c r="A17" s="529" t="s">
        <v>544</v>
      </c>
      <c r="B17" s="503">
        <v>16.562218899999994</v>
      </c>
      <c r="C17" s="240">
        <f t="shared" si="0"/>
        <v>0.12658357632655431</v>
      </c>
      <c r="D17" s="503">
        <v>155.46495319000005</v>
      </c>
      <c r="E17" s="240">
        <f t="shared" si="1"/>
        <v>1.3998151158857119</v>
      </c>
      <c r="F17" s="503">
        <v>128.42429280999997</v>
      </c>
      <c r="G17" s="240">
        <f>(F17/Table223729[[#Totals],[Column6]])*100</f>
        <v>1.1421271196506317</v>
      </c>
      <c r="H17" s="240">
        <f t="shared" si="2"/>
        <v>-17.393412357673043</v>
      </c>
      <c r="I17" s="239">
        <f t="shared" si="3"/>
        <v>675.40511682284318</v>
      </c>
      <c r="K17" s="241"/>
      <c r="P17" s="4"/>
      <c r="Q17" s="4"/>
      <c r="R17" s="4"/>
      <c r="S17" s="4"/>
      <c r="T17" s="4"/>
    </row>
    <row r="18" spans="1:20" ht="14.5" x14ac:dyDescent="0.35">
      <c r="A18" s="529" t="s">
        <v>334</v>
      </c>
      <c r="B18" s="503">
        <v>106.24678784000007</v>
      </c>
      <c r="C18" s="240">
        <f t="shared" si="0"/>
        <v>0.81203481605933092</v>
      </c>
      <c r="D18" s="503">
        <v>190.0521644099999</v>
      </c>
      <c r="E18" s="240">
        <f t="shared" si="1"/>
        <v>1.711240296215049</v>
      </c>
      <c r="F18" s="503">
        <v>93.794423019999968</v>
      </c>
      <c r="G18" s="240">
        <f>(F18/Table223729[[#Totals],[Column6]])*100</f>
        <v>0.83415023637010821</v>
      </c>
      <c r="H18" s="240">
        <f t="shared" si="2"/>
        <v>-50.648063750719999</v>
      </c>
      <c r="I18" s="239">
        <f t="shared" si="3"/>
        <v>-11.720227098773517</v>
      </c>
      <c r="K18" s="241"/>
      <c r="P18" s="4"/>
      <c r="Q18" s="4"/>
      <c r="R18" s="4"/>
      <c r="S18" s="4"/>
      <c r="T18" s="4"/>
    </row>
    <row r="19" spans="1:20" ht="14.5" x14ac:dyDescent="0.35">
      <c r="A19" s="529" t="s">
        <v>266</v>
      </c>
      <c r="B19" s="503">
        <v>81.918342279999976</v>
      </c>
      <c r="C19" s="240">
        <f t="shared" si="0"/>
        <v>0.62609465526054486</v>
      </c>
      <c r="D19" s="503">
        <v>59.238485090000019</v>
      </c>
      <c r="E19" s="240">
        <f t="shared" si="1"/>
        <v>0.53338662617939958</v>
      </c>
      <c r="F19" s="503">
        <v>92.421630820000019</v>
      </c>
      <c r="G19" s="240">
        <f>(F19/Table223729[[#Totals],[Column6]])*100</f>
        <v>0.82194146210351016</v>
      </c>
      <c r="H19" s="240">
        <f t="shared" si="2"/>
        <v>56.016195686951505</v>
      </c>
      <c r="I19" s="239">
        <f t="shared" si="3"/>
        <v>12.821656600544241</v>
      </c>
      <c r="K19" s="241"/>
      <c r="P19" s="4"/>
      <c r="Q19" s="4"/>
      <c r="R19" s="4"/>
      <c r="S19" s="4"/>
      <c r="T19" s="4"/>
    </row>
    <row r="20" spans="1:20" ht="14.5" x14ac:dyDescent="0.35">
      <c r="A20" s="529" t="s">
        <v>576</v>
      </c>
      <c r="B20" s="503">
        <v>0.39770222</v>
      </c>
      <c r="C20" s="240">
        <f t="shared" si="0"/>
        <v>3.0396029435772105E-3</v>
      </c>
      <c r="D20" s="503">
        <v>0.70394166999999996</v>
      </c>
      <c r="E20" s="240">
        <f t="shared" si="1"/>
        <v>6.338330087576385E-3</v>
      </c>
      <c r="F20" s="503">
        <v>74.021471509999998</v>
      </c>
      <c r="G20" s="240">
        <f>(F20/Table223729[[#Totals],[Column6]])*100</f>
        <v>0.65830169820825823</v>
      </c>
      <c r="H20" s="240">
        <f t="shared" si="2"/>
        <v>10415.284811879372</v>
      </c>
      <c r="I20" s="239">
        <f t="shared" si="3"/>
        <v>18512.285219328169</v>
      </c>
      <c r="K20" s="241"/>
      <c r="P20" s="4"/>
      <c r="Q20" s="4"/>
      <c r="R20" s="4"/>
      <c r="S20" s="4"/>
      <c r="T20" s="4"/>
    </row>
    <row r="21" spans="1:20" ht="14.5" x14ac:dyDescent="0.35">
      <c r="A21" s="529" t="s">
        <v>615</v>
      </c>
      <c r="B21" s="503">
        <v>109.61957819999984</v>
      </c>
      <c r="C21" s="240">
        <f t="shared" si="0"/>
        <v>0.83781275490594875</v>
      </c>
      <c r="D21" s="503">
        <v>57.693092999999976</v>
      </c>
      <c r="E21" s="240">
        <f t="shared" si="1"/>
        <v>0.51947182954411886</v>
      </c>
      <c r="F21" s="503">
        <v>71.976958009999933</v>
      </c>
      <c r="G21" s="240">
        <f>(F21/Table223729[[#Totals],[Column6]])*100</f>
        <v>0.64011904550487442</v>
      </c>
      <c r="H21" s="240">
        <f t="shared" si="2"/>
        <v>24.758362339838435</v>
      </c>
      <c r="I21" s="239">
        <f t="shared" si="3"/>
        <v>-34.339322234319603</v>
      </c>
      <c r="K21" s="241"/>
      <c r="P21" s="4"/>
      <c r="Q21" s="4"/>
      <c r="R21" s="4"/>
      <c r="S21" s="4"/>
      <c r="T21" s="4"/>
    </row>
    <row r="22" spans="1:20" ht="14.5" x14ac:dyDescent="0.35">
      <c r="A22" s="529" t="s">
        <v>256</v>
      </c>
      <c r="B22" s="503">
        <v>190.99345843</v>
      </c>
      <c r="C22" s="240">
        <f t="shared" si="0"/>
        <v>1.4597461348036216</v>
      </c>
      <c r="D22" s="503">
        <v>94.875606789999907</v>
      </c>
      <c r="E22" s="240">
        <f t="shared" si="1"/>
        <v>0.85426525907199502</v>
      </c>
      <c r="F22" s="503">
        <v>53.924648040000001</v>
      </c>
      <c r="G22" s="240">
        <f>(F22/Table223729[[#Totals],[Column6]])*100</f>
        <v>0.47957284090493796</v>
      </c>
      <c r="H22" s="240">
        <f t="shared" si="2"/>
        <v>-43.162789820824862</v>
      </c>
      <c r="I22" s="239">
        <f t="shared" si="3"/>
        <v>-71.766232999145558</v>
      </c>
      <c r="K22" s="241"/>
      <c r="P22" s="4"/>
      <c r="Q22" s="4"/>
      <c r="R22" s="4"/>
      <c r="S22" s="4"/>
      <c r="T22" s="4"/>
    </row>
    <row r="23" spans="1:20" ht="14.5" x14ac:dyDescent="0.35">
      <c r="A23" s="529" t="s">
        <v>248</v>
      </c>
      <c r="B23" s="503">
        <v>172.76920463999988</v>
      </c>
      <c r="C23" s="240">
        <f t="shared" si="0"/>
        <v>1.3204597725987979</v>
      </c>
      <c r="D23" s="503">
        <v>107.98838763999991</v>
      </c>
      <c r="E23" s="240">
        <f t="shared" si="1"/>
        <v>0.97233346974256174</v>
      </c>
      <c r="F23" s="503">
        <v>50.936196349999953</v>
      </c>
      <c r="G23" s="240">
        <f>(F23/Table223729[[#Totals],[Column6]])*100</f>
        <v>0.45299537922512528</v>
      </c>
      <c r="H23" s="240">
        <f t="shared" si="2"/>
        <v>-52.83178361750749</v>
      </c>
      <c r="I23" s="239">
        <f t="shared" si="3"/>
        <v>-70.517780378664142</v>
      </c>
      <c r="K23" s="241"/>
      <c r="P23" s="4"/>
      <c r="Q23" s="4"/>
      <c r="R23" s="4"/>
      <c r="S23" s="4"/>
      <c r="T23" s="4"/>
    </row>
    <row r="24" spans="1:20" ht="14.5" x14ac:dyDescent="0.35">
      <c r="A24" s="529" t="s">
        <v>438</v>
      </c>
      <c r="B24" s="503">
        <v>58.750902429999975</v>
      </c>
      <c r="C24" s="240">
        <f t="shared" si="0"/>
        <v>0.44902795856670197</v>
      </c>
      <c r="D24" s="503">
        <v>21.995824759999998</v>
      </c>
      <c r="E24" s="240">
        <f t="shared" si="1"/>
        <v>0.19805163384824997</v>
      </c>
      <c r="F24" s="503">
        <v>50.341594700000016</v>
      </c>
      <c r="G24" s="240">
        <f>(F24/Table223729[[#Totals],[Column6]])*100</f>
        <v>0.44770735579128268</v>
      </c>
      <c r="H24" s="240">
        <f t="shared" si="2"/>
        <v>128.86886602018927</v>
      </c>
      <c r="I24" s="239">
        <f t="shared" si="3"/>
        <v>-14.313495422507616</v>
      </c>
      <c r="K24" s="241"/>
      <c r="P24" s="4"/>
      <c r="Q24" s="4"/>
      <c r="R24" s="4"/>
      <c r="S24" s="4"/>
      <c r="T24" s="4"/>
    </row>
    <row r="25" spans="1:20" ht="14.5" x14ac:dyDescent="0.35">
      <c r="A25" s="529" t="s">
        <v>613</v>
      </c>
      <c r="B25" s="503">
        <v>37.313240500000006</v>
      </c>
      <c r="C25" s="240">
        <f t="shared" si="0"/>
        <v>0.285181801746554</v>
      </c>
      <c r="D25" s="503">
        <v>68.93274670000001</v>
      </c>
      <c r="E25" s="240">
        <f t="shared" si="1"/>
        <v>0.62067429880645064</v>
      </c>
      <c r="F25" s="503">
        <v>49.443255529999995</v>
      </c>
      <c r="G25" s="240">
        <f>(F25/Table223729[[#Totals],[Column6]])*100</f>
        <v>0.43971807661168522</v>
      </c>
      <c r="H25" s="240">
        <f t="shared" si="2"/>
        <v>-28.273196852026807</v>
      </c>
      <c r="I25" s="239">
        <f t="shared" si="3"/>
        <v>32.508607849269985</v>
      </c>
      <c r="K25" s="241"/>
      <c r="P25" s="4"/>
      <c r="Q25" s="4"/>
      <c r="R25" s="4"/>
      <c r="S25" s="4"/>
      <c r="T25" s="4"/>
    </row>
    <row r="26" spans="1:20" ht="14.5" x14ac:dyDescent="0.35">
      <c r="A26" s="529" t="s">
        <v>267</v>
      </c>
      <c r="B26" s="503">
        <v>28.843123630000004</v>
      </c>
      <c r="C26" s="240">
        <f t="shared" si="0"/>
        <v>0.22044544656479262</v>
      </c>
      <c r="D26" s="503">
        <v>13.908648939999992</v>
      </c>
      <c r="E26" s="240">
        <f t="shared" si="1"/>
        <v>0.12523425137474722</v>
      </c>
      <c r="F26" s="503">
        <v>44.97737668000002</v>
      </c>
      <c r="G26" s="240">
        <f>(F26/Table223729[[#Totals],[Column6]])*100</f>
        <v>0.40000128132276475</v>
      </c>
      <c r="H26" s="240">
        <f t="shared" si="2"/>
        <v>223.37703592941534</v>
      </c>
      <c r="I26" s="239">
        <f t="shared" si="3"/>
        <v>55.937953381785</v>
      </c>
      <c r="K26" s="241"/>
      <c r="P26" s="4"/>
      <c r="Q26" s="4"/>
      <c r="R26" s="4"/>
      <c r="S26" s="4"/>
      <c r="T26" s="4"/>
    </row>
    <row r="27" spans="1:20" ht="14.5" x14ac:dyDescent="0.35">
      <c r="A27" s="529" t="s">
        <v>612</v>
      </c>
      <c r="B27" s="503">
        <v>158.29163823999997</v>
      </c>
      <c r="C27" s="240">
        <f t="shared" si="0"/>
        <v>1.2098090112194064</v>
      </c>
      <c r="D27" s="503">
        <v>49.951209490000032</v>
      </c>
      <c r="E27" s="240">
        <f t="shared" si="1"/>
        <v>0.44976347830253932</v>
      </c>
      <c r="F27" s="503">
        <v>44.77621821999994</v>
      </c>
      <c r="G27" s="240">
        <f>(F27/Table223729[[#Totals],[Column6]])*100</f>
        <v>0.39821230100224897</v>
      </c>
      <c r="H27" s="240">
        <f t="shared" si="2"/>
        <v>-10.360092023469614</v>
      </c>
      <c r="I27" s="239">
        <f t="shared" si="3"/>
        <v>-71.712834159874731</v>
      </c>
      <c r="K27" s="241"/>
      <c r="P27" s="4"/>
      <c r="Q27" s="4"/>
      <c r="R27" s="4"/>
      <c r="S27" s="4"/>
      <c r="T27" s="4"/>
    </row>
    <row r="28" spans="1:20" ht="14.5" x14ac:dyDescent="0.35">
      <c r="A28" s="529" t="s">
        <v>286</v>
      </c>
      <c r="B28" s="503">
        <v>92.794640030000011</v>
      </c>
      <c r="C28" s="240">
        <f t="shared" si="0"/>
        <v>0.70922123840137397</v>
      </c>
      <c r="D28" s="503">
        <v>0.30354836999999996</v>
      </c>
      <c r="E28" s="240">
        <f t="shared" si="1"/>
        <v>2.7331664662013384E-3</v>
      </c>
      <c r="F28" s="503">
        <v>41.779076020000005</v>
      </c>
      <c r="G28" s="240">
        <f>(F28/Table223729[[#Totals],[Column6]])*100</f>
        <v>0.37155755124136314</v>
      </c>
      <c r="H28" s="240">
        <f t="shared" si="2"/>
        <v>13663.564607512142</v>
      </c>
      <c r="I28" s="239">
        <f t="shared" si="3"/>
        <v>-54.9768434831009</v>
      </c>
      <c r="K28" s="241"/>
      <c r="P28" s="4"/>
      <c r="Q28" s="4"/>
      <c r="R28" s="4"/>
      <c r="S28" s="4"/>
      <c r="T28" s="4"/>
    </row>
    <row r="29" spans="1:20" ht="14.5" x14ac:dyDescent="0.35">
      <c r="A29" s="529" t="s">
        <v>262</v>
      </c>
      <c r="B29" s="503">
        <v>63.158008990000027</v>
      </c>
      <c r="C29" s="240">
        <f t="shared" si="0"/>
        <v>0.482711084782177</v>
      </c>
      <c r="D29" s="503">
        <v>24.876406399999997</v>
      </c>
      <c r="E29" s="240">
        <f t="shared" si="1"/>
        <v>0.22398855171607859</v>
      </c>
      <c r="F29" s="503">
        <v>41.685084710000012</v>
      </c>
      <c r="G29" s="240">
        <f>(F29/Table223729[[#Totals],[Column6]])*100</f>
        <v>0.37072165001260338</v>
      </c>
      <c r="H29" s="240">
        <f t="shared" si="2"/>
        <v>67.568755871426902</v>
      </c>
      <c r="I29" s="239">
        <f t="shared" si="3"/>
        <v>-33.99873527267124</v>
      </c>
      <c r="K29" s="241"/>
      <c r="P29" s="4"/>
      <c r="Q29" s="4"/>
      <c r="R29" s="4"/>
      <c r="S29" s="4"/>
      <c r="T29" s="4"/>
    </row>
    <row r="30" spans="1:20" ht="14.5" x14ac:dyDescent="0.35">
      <c r="A30" s="529" t="s">
        <v>536</v>
      </c>
      <c r="B30" s="503">
        <v>90.379858439999992</v>
      </c>
      <c r="C30" s="240">
        <f t="shared" si="0"/>
        <v>0.69076527597536563</v>
      </c>
      <c r="D30" s="503">
        <v>104.68976141000002</v>
      </c>
      <c r="E30" s="240">
        <f t="shared" si="1"/>
        <v>0.94263245505298232</v>
      </c>
      <c r="F30" s="503">
        <v>36.969979320000022</v>
      </c>
      <c r="G30" s="240">
        <f>(F30/Table223729[[#Totals],[Column6]])*100</f>
        <v>0.32878838629670204</v>
      </c>
      <c r="H30" s="240">
        <f t="shared" si="2"/>
        <v>-64.686155721366816</v>
      </c>
      <c r="I30" s="239">
        <f t="shared" si="3"/>
        <v>-59.094891319681487</v>
      </c>
      <c r="K30" s="241"/>
      <c r="P30" s="4"/>
      <c r="Q30" s="4"/>
      <c r="R30" s="4"/>
      <c r="S30" s="4"/>
      <c r="T30" s="4"/>
    </row>
    <row r="31" spans="1:20" ht="14.5" x14ac:dyDescent="0.35">
      <c r="A31" s="529" t="s">
        <v>276</v>
      </c>
      <c r="B31" s="503">
        <v>8.2630809200000002</v>
      </c>
      <c r="C31" s="240">
        <f t="shared" si="0"/>
        <v>6.3153997700713574E-2</v>
      </c>
      <c r="D31" s="503">
        <v>0.54155481999999999</v>
      </c>
      <c r="E31" s="240">
        <f t="shared" si="1"/>
        <v>4.876189826463909E-3</v>
      </c>
      <c r="F31" s="503">
        <v>36.253776639999998</v>
      </c>
      <c r="G31" s="240">
        <f>(F31/Table223729[[#Totals],[Column6]])*100</f>
        <v>0.32241891766972902</v>
      </c>
      <c r="H31" s="240">
        <f t="shared" si="2"/>
        <v>6594.3872164225213</v>
      </c>
      <c r="I31" s="239">
        <f t="shared" si="3"/>
        <v>338.74405915898978</v>
      </c>
      <c r="K31" s="241"/>
      <c r="P31" s="4"/>
      <c r="Q31" s="4"/>
      <c r="R31" s="4"/>
      <c r="S31" s="4"/>
      <c r="T31" s="4"/>
    </row>
    <row r="32" spans="1:20" ht="14.5" x14ac:dyDescent="0.35">
      <c r="A32" s="529" t="s">
        <v>260</v>
      </c>
      <c r="B32" s="503">
        <v>52.068567989999956</v>
      </c>
      <c r="C32" s="240">
        <f t="shared" si="0"/>
        <v>0.39795546660577852</v>
      </c>
      <c r="D32" s="503">
        <v>122.17657163000003</v>
      </c>
      <c r="E32" s="240">
        <f t="shared" si="1"/>
        <v>1.1000846703099145</v>
      </c>
      <c r="F32" s="503">
        <v>32.509010219999972</v>
      </c>
      <c r="G32" s="240">
        <f>(F32/Table223729[[#Totals],[Column6]])*100</f>
        <v>0.28911525532161914</v>
      </c>
      <c r="H32" s="240">
        <f t="shared" si="2"/>
        <v>-73.391780612038787</v>
      </c>
      <c r="I32" s="239">
        <f t="shared" si="3"/>
        <v>-37.565000392859858</v>
      </c>
      <c r="K32" s="241"/>
      <c r="P32" s="4"/>
      <c r="Q32" s="4"/>
      <c r="R32" s="4"/>
      <c r="S32" s="4"/>
      <c r="T32" s="4"/>
    </row>
    <row r="33" spans="1:20" ht="14.5" x14ac:dyDescent="0.35">
      <c r="A33" s="529" t="s">
        <v>548</v>
      </c>
      <c r="B33" s="503">
        <v>0.76260569999999994</v>
      </c>
      <c r="C33" s="240">
        <f t="shared" si="0"/>
        <v>5.828528014022046E-3</v>
      </c>
      <c r="D33" s="503">
        <v>17.540602199999999</v>
      </c>
      <c r="E33" s="240">
        <f t="shared" si="1"/>
        <v>0.15793656124728139</v>
      </c>
      <c r="F33" s="503">
        <v>30.503734170000001</v>
      </c>
      <c r="G33" s="240">
        <f>(F33/Table223729[[#Totals],[Column6]])*100</f>
        <v>0.27128155650204094</v>
      </c>
      <c r="H33" s="240">
        <f t="shared" si="2"/>
        <v>73.90357424558664</v>
      </c>
      <c r="I33" s="239">
        <f t="shared" si="3"/>
        <v>3899.9352443864509</v>
      </c>
      <c r="K33" s="241"/>
      <c r="P33" s="4"/>
      <c r="Q33" s="4"/>
      <c r="R33" s="4"/>
      <c r="S33" s="4"/>
      <c r="T33" s="4"/>
    </row>
    <row r="34" spans="1:20" ht="14.5" x14ac:dyDescent="0.35">
      <c r="A34" s="529" t="s">
        <v>259</v>
      </c>
      <c r="B34" s="503">
        <v>41.862863739999995</v>
      </c>
      <c r="C34" s="240">
        <f t="shared" si="0"/>
        <v>0.31995417036061718</v>
      </c>
      <c r="D34" s="503">
        <v>42.807622179999996</v>
      </c>
      <c r="E34" s="240">
        <f t="shared" si="1"/>
        <v>0.38544221943999452</v>
      </c>
      <c r="F34" s="503">
        <v>29.367916009999995</v>
      </c>
      <c r="G34" s="240">
        <f>(F34/Table223729[[#Totals],[Column6]])*100</f>
        <v>0.26118028442069935</v>
      </c>
      <c r="H34" s="240">
        <f t="shared" si="2"/>
        <v>-31.395591452120229</v>
      </c>
      <c r="I34" s="239">
        <f t="shared" si="3"/>
        <v>-29.847331533750442</v>
      </c>
      <c r="K34" s="241"/>
      <c r="P34" s="4"/>
      <c r="Q34" s="4"/>
      <c r="R34" s="4"/>
      <c r="S34" s="4"/>
      <c r="T34" s="4"/>
    </row>
    <row r="35" spans="1:20" ht="14.5" x14ac:dyDescent="0.35">
      <c r="A35" s="529" t="s">
        <v>245</v>
      </c>
      <c r="B35" s="503">
        <v>30.004672930000002</v>
      </c>
      <c r="C35" s="240">
        <f t="shared" si="0"/>
        <v>0.22932306528009685</v>
      </c>
      <c r="D35" s="503">
        <v>36.226864320000011</v>
      </c>
      <c r="E35" s="240">
        <f t="shared" si="1"/>
        <v>0.32618870835988939</v>
      </c>
      <c r="F35" s="503">
        <v>27.772902020000011</v>
      </c>
      <c r="G35" s="240">
        <f>(F35/Table223729[[#Totals],[Column6]])*100</f>
        <v>0.24699520545829221</v>
      </c>
      <c r="H35" s="240">
        <f t="shared" si="2"/>
        <v>-23.336169052127332</v>
      </c>
      <c r="I35" s="239">
        <f t="shared" si="3"/>
        <v>-7.4380777794400448</v>
      </c>
      <c r="K35" s="241"/>
      <c r="P35" s="4"/>
      <c r="Q35" s="4"/>
      <c r="R35" s="4"/>
      <c r="S35" s="4"/>
      <c r="T35" s="4"/>
    </row>
    <row r="36" spans="1:20" ht="14.5" x14ac:dyDescent="0.35">
      <c r="A36" s="529" t="s">
        <v>253</v>
      </c>
      <c r="B36" s="503">
        <v>6.9360463100000045</v>
      </c>
      <c r="C36" s="240">
        <f t="shared" ref="C36:C67" si="4">(B36/$B$183)*100</f>
        <v>5.3011589376252062E-2</v>
      </c>
      <c r="D36" s="503">
        <v>4.2249160199999993</v>
      </c>
      <c r="E36" s="240">
        <f t="shared" ref="E36:E67" si="5">(D36/$D$183)*100</f>
        <v>3.8041379660120805E-2</v>
      </c>
      <c r="F36" s="503">
        <v>25.568096409999981</v>
      </c>
      <c r="G36" s="240">
        <f>(F36/Table223729[[#Totals],[Column6]])*100</f>
        <v>0.22738701275861004</v>
      </c>
      <c r="H36" s="240">
        <f t="shared" si="2"/>
        <v>505.17407420562137</v>
      </c>
      <c r="I36" s="239">
        <f t="shared" si="3"/>
        <v>268.62637974514854</v>
      </c>
      <c r="K36" s="241"/>
      <c r="P36" s="4"/>
      <c r="Q36" s="4"/>
      <c r="R36" s="4"/>
      <c r="S36" s="4"/>
      <c r="T36" s="4"/>
    </row>
    <row r="37" spans="1:20" ht="14.5" x14ac:dyDescent="0.35">
      <c r="A37" s="529" t="s">
        <v>532</v>
      </c>
      <c r="B37" s="503">
        <v>3.2501239100000001</v>
      </c>
      <c r="C37" s="240">
        <f t="shared" si="4"/>
        <v>2.484041000280731E-2</v>
      </c>
      <c r="D37" s="503">
        <v>0.32896006999999994</v>
      </c>
      <c r="E37" s="240">
        <f t="shared" si="5"/>
        <v>2.9619748313695275E-3</v>
      </c>
      <c r="F37" s="503">
        <v>25.287484240000001</v>
      </c>
      <c r="G37" s="240">
        <f>(F37/Table223729[[#Totals],[Column6]])*100</f>
        <v>0.22489141973295754</v>
      </c>
      <c r="H37" s="240">
        <f t="shared" si="2"/>
        <v>7587.098388567344</v>
      </c>
      <c r="I37" s="239">
        <f t="shared" si="3"/>
        <v>678.04677422283271</v>
      </c>
      <c r="K37" s="241"/>
      <c r="P37" s="4"/>
      <c r="Q37" s="4"/>
      <c r="R37" s="4"/>
      <c r="S37" s="4"/>
      <c r="T37" s="4"/>
    </row>
    <row r="38" spans="1:20" ht="14.5" x14ac:dyDescent="0.35">
      <c r="A38" s="529" t="s">
        <v>540</v>
      </c>
      <c r="B38" s="503">
        <v>21.277477330000004</v>
      </c>
      <c r="C38" s="240">
        <f t="shared" si="4"/>
        <v>0.16262188006937797</v>
      </c>
      <c r="D38" s="503">
        <v>29.132250110000001</v>
      </c>
      <c r="E38" s="240">
        <f t="shared" si="5"/>
        <v>0.26230840602320571</v>
      </c>
      <c r="F38" s="503">
        <v>22.795081870000001</v>
      </c>
      <c r="G38" s="240">
        <f>(F38/Table223729[[#Totals],[Column6]])*100</f>
        <v>0.20272551733573718</v>
      </c>
      <c r="H38" s="240">
        <f t="shared" si="2"/>
        <v>-21.753102544676729</v>
      </c>
      <c r="I38" s="239">
        <f t="shared" si="3"/>
        <v>7.1324458086027942</v>
      </c>
      <c r="K38" s="241"/>
      <c r="P38" s="4"/>
      <c r="Q38" s="4"/>
      <c r="R38" s="4"/>
      <c r="S38" s="4"/>
      <c r="T38" s="4"/>
    </row>
    <row r="39" spans="1:20" ht="14.5" x14ac:dyDescent="0.35">
      <c r="A39" s="529" t="s">
        <v>528</v>
      </c>
      <c r="B39" s="503">
        <v>506.20419097000001</v>
      </c>
      <c r="C39" s="240">
        <f t="shared" si="4"/>
        <v>3.8688739251280331</v>
      </c>
      <c r="D39" s="503">
        <v>88.238336619999998</v>
      </c>
      <c r="E39" s="240">
        <f t="shared" si="5"/>
        <v>0.79450290799838452</v>
      </c>
      <c r="F39" s="503">
        <v>21.16062595999999</v>
      </c>
      <c r="G39" s="240">
        <f>(F39/Table223729[[#Totals],[Column6]])*100</f>
        <v>0.18818966605839296</v>
      </c>
      <c r="H39" s="240">
        <f t="shared" si="2"/>
        <v>-76.018784158263756</v>
      </c>
      <c r="I39" s="239">
        <f t="shared" si="3"/>
        <v>-95.819745008540622</v>
      </c>
      <c r="K39" s="241"/>
      <c r="P39" s="4"/>
      <c r="Q39" s="4"/>
      <c r="R39" s="4"/>
      <c r="S39" s="4"/>
      <c r="T39" s="4"/>
    </row>
    <row r="40" spans="1:20" ht="14.5" x14ac:dyDescent="0.35">
      <c r="A40" s="529" t="s">
        <v>251</v>
      </c>
      <c r="B40" s="503">
        <v>62.740319689999986</v>
      </c>
      <c r="C40" s="240">
        <f t="shared" si="4"/>
        <v>0.47951872235135917</v>
      </c>
      <c r="D40" s="503">
        <v>20.465281299999987</v>
      </c>
      <c r="E40" s="240">
        <f t="shared" si="5"/>
        <v>0.1842705351062742</v>
      </c>
      <c r="F40" s="503">
        <v>20.251721319999998</v>
      </c>
      <c r="G40" s="240">
        <f>(F40/Table223729[[#Totals],[Column6]])*100</f>
        <v>0.18010642405015312</v>
      </c>
      <c r="H40" s="240">
        <f t="shared" si="2"/>
        <v>-1.0435233059805982</v>
      </c>
      <c r="I40" s="239">
        <f t="shared" si="3"/>
        <v>-67.721360968411076</v>
      </c>
      <c r="K40" s="241"/>
      <c r="P40" s="4"/>
      <c r="Q40" s="4"/>
      <c r="R40" s="4"/>
      <c r="S40" s="4"/>
      <c r="T40" s="4"/>
    </row>
    <row r="41" spans="1:20" ht="14.5" x14ac:dyDescent="0.35">
      <c r="A41" s="529" t="s">
        <v>545</v>
      </c>
      <c r="B41" s="503">
        <v>13.531632009999999</v>
      </c>
      <c r="C41" s="240">
        <f t="shared" si="4"/>
        <v>0.1034210683787473</v>
      </c>
      <c r="D41" s="503">
        <v>21.777473470000011</v>
      </c>
      <c r="E41" s="240">
        <f t="shared" si="5"/>
        <v>0.19608558664569123</v>
      </c>
      <c r="F41" s="503">
        <v>20.241727559999998</v>
      </c>
      <c r="G41" s="240">
        <f>(F41/Table223729[[#Totals],[Column6]])*100</f>
        <v>0.18001754566060912</v>
      </c>
      <c r="H41" s="240">
        <f t="shared" si="2"/>
        <v>-7.0519930244231972</v>
      </c>
      <c r="I41" s="239">
        <f t="shared" si="3"/>
        <v>49.58822073376794</v>
      </c>
      <c r="K41" s="241"/>
      <c r="P41" s="4"/>
      <c r="Q41" s="4"/>
      <c r="R41" s="4"/>
      <c r="S41" s="4"/>
      <c r="T41" s="4"/>
    </row>
    <row r="42" spans="1:20" ht="14.5" x14ac:dyDescent="0.35">
      <c r="A42" s="529" t="s">
        <v>539</v>
      </c>
      <c r="B42" s="503">
        <v>32.007337800000016</v>
      </c>
      <c r="C42" s="240">
        <f t="shared" si="4"/>
        <v>0.24462925601207397</v>
      </c>
      <c r="D42" s="503">
        <v>12.328319110000002</v>
      </c>
      <c r="E42" s="240">
        <f t="shared" si="5"/>
        <v>0.11100487337843766</v>
      </c>
      <c r="F42" s="503">
        <v>19.46504105</v>
      </c>
      <c r="G42" s="240">
        <f>(F42/Table223729[[#Totals],[Column6]])*100</f>
        <v>0.17311017083978608</v>
      </c>
      <c r="H42" s="240">
        <f t="shared" si="2"/>
        <v>57.888848238938849</v>
      </c>
      <c r="I42" s="239">
        <f t="shared" si="3"/>
        <v>-39.185691819705205</v>
      </c>
      <c r="K42" s="241"/>
      <c r="P42" s="4"/>
      <c r="Q42" s="4"/>
      <c r="R42" s="4"/>
      <c r="S42" s="4"/>
      <c r="T42" s="4"/>
    </row>
    <row r="43" spans="1:20" ht="14.5" x14ac:dyDescent="0.35">
      <c r="A43" s="529" t="s">
        <v>546</v>
      </c>
      <c r="B43" s="503">
        <v>16.783054969999995</v>
      </c>
      <c r="C43" s="240">
        <f t="shared" si="4"/>
        <v>0.12827140690597633</v>
      </c>
      <c r="D43" s="503">
        <v>14.196361609999995</v>
      </c>
      <c r="E43" s="240">
        <f t="shared" si="5"/>
        <v>0.12782483231427016</v>
      </c>
      <c r="F43" s="503">
        <v>18.596154539999997</v>
      </c>
      <c r="G43" s="240">
        <f>(F43/Table223729[[#Totals],[Column6]])*100</f>
        <v>0.16538282560582954</v>
      </c>
      <c r="H43" s="240">
        <f t="shared" si="2"/>
        <v>30.992398269855027</v>
      </c>
      <c r="I43" s="239">
        <f t="shared" si="3"/>
        <v>10.80315576181421</v>
      </c>
      <c r="K43" s="241"/>
      <c r="P43" s="4"/>
      <c r="Q43" s="4"/>
      <c r="R43" s="4"/>
      <c r="S43" s="4"/>
      <c r="T43" s="4"/>
    </row>
    <row r="44" spans="1:20" ht="14.5" x14ac:dyDescent="0.35">
      <c r="A44" s="529" t="s">
        <v>529</v>
      </c>
      <c r="B44" s="503">
        <v>32.085127809999996</v>
      </c>
      <c r="C44" s="240">
        <f t="shared" si="4"/>
        <v>0.24522379818832041</v>
      </c>
      <c r="D44" s="503">
        <v>47.112024720000008</v>
      </c>
      <c r="E44" s="240">
        <f t="shared" si="5"/>
        <v>0.42419930016277979</v>
      </c>
      <c r="F44" s="503">
        <v>16.469389389999996</v>
      </c>
      <c r="G44" s="240">
        <f>(F44/Table223729[[#Totals],[Column6]])*100</f>
        <v>0.14646867703008826</v>
      </c>
      <c r="H44" s="240">
        <f t="shared" si="2"/>
        <v>-65.042068372390688</v>
      </c>
      <c r="I44" s="239">
        <f t="shared" si="3"/>
        <v>-48.669709257424344</v>
      </c>
      <c r="K44" s="241"/>
      <c r="P44" s="4"/>
      <c r="Q44" s="4"/>
      <c r="R44" s="4"/>
      <c r="S44" s="4"/>
      <c r="T44" s="4"/>
    </row>
    <row r="45" spans="1:20" ht="14.5" x14ac:dyDescent="0.35">
      <c r="A45" s="529" t="s">
        <v>254</v>
      </c>
      <c r="B45" s="503">
        <v>16.20034003</v>
      </c>
      <c r="C45" s="240">
        <f t="shared" si="4"/>
        <v>0.12381776808321489</v>
      </c>
      <c r="D45" s="503">
        <v>87.730547429999987</v>
      </c>
      <c r="E45" s="240">
        <f t="shared" si="5"/>
        <v>0.78993074578908806</v>
      </c>
      <c r="F45" s="503">
        <v>15.483680820000002</v>
      </c>
      <c r="G45" s="240">
        <f>(F45/Table223729[[#Totals],[Column6]])*100</f>
        <v>0.13770238783950159</v>
      </c>
      <c r="H45" s="240">
        <f t="shared" si="2"/>
        <v>-82.350867202379646</v>
      </c>
      <c r="I45" s="239">
        <f t="shared" si="3"/>
        <v>-4.4237294320543796</v>
      </c>
      <c r="K45" s="241"/>
      <c r="P45" s="4"/>
      <c r="Q45" s="4"/>
      <c r="R45" s="4"/>
      <c r="S45" s="4"/>
      <c r="T45" s="4"/>
    </row>
    <row r="46" spans="1:20" ht="14.5" x14ac:dyDescent="0.35">
      <c r="A46" s="529" t="s">
        <v>526</v>
      </c>
      <c r="B46" s="503">
        <v>12.160349730000002</v>
      </c>
      <c r="C46" s="240">
        <f t="shared" si="4"/>
        <v>9.2940479020299005E-2</v>
      </c>
      <c r="D46" s="503">
        <v>13.314917479999998</v>
      </c>
      <c r="E46" s="240">
        <f t="shared" si="5"/>
        <v>0.11988826016945514</v>
      </c>
      <c r="F46" s="503">
        <v>14.15918138</v>
      </c>
      <c r="G46" s="240">
        <f>(F46/Table223729[[#Totals],[Column6]])*100</f>
        <v>0.12592309984588079</v>
      </c>
      <c r="H46" s="240">
        <f t="shared" si="2"/>
        <v>6.3407370062048773</v>
      </c>
      <c r="I46" s="239">
        <f t="shared" si="3"/>
        <v>16.437287531861109</v>
      </c>
      <c r="K46" s="241"/>
      <c r="P46" s="4"/>
      <c r="Q46" s="4"/>
      <c r="R46" s="4"/>
      <c r="S46" s="4"/>
      <c r="T46" s="4"/>
    </row>
    <row r="47" spans="1:20" ht="14.5" x14ac:dyDescent="0.35">
      <c r="A47" s="529" t="s">
        <v>264</v>
      </c>
      <c r="B47" s="503">
        <v>73.030736970000007</v>
      </c>
      <c r="C47" s="240">
        <f t="shared" si="4"/>
        <v>0.558167472803207</v>
      </c>
      <c r="D47" s="503">
        <v>5.3098378099999994</v>
      </c>
      <c r="E47" s="240">
        <f t="shared" si="5"/>
        <v>4.7810076012794786E-2</v>
      </c>
      <c r="F47" s="503">
        <v>12.6492776</v>
      </c>
      <c r="G47" s="240">
        <f>(F47/Table223729[[#Totals],[Column6]])*100</f>
        <v>0.11249493904025849</v>
      </c>
      <c r="H47" s="240">
        <f t="shared" si="2"/>
        <v>138.2234270165024</v>
      </c>
      <c r="I47" s="239">
        <f t="shared" si="3"/>
        <v>-82.679515331748405</v>
      </c>
      <c r="K47" s="241"/>
      <c r="P47" s="4"/>
      <c r="Q47" s="4"/>
      <c r="R47" s="4"/>
      <c r="S47" s="4"/>
      <c r="T47" s="4"/>
    </row>
    <row r="48" spans="1:20" ht="14.5" x14ac:dyDescent="0.35">
      <c r="A48" s="529" t="s">
        <v>614</v>
      </c>
      <c r="B48" s="503">
        <v>32.814876330000025</v>
      </c>
      <c r="C48" s="240">
        <f t="shared" si="4"/>
        <v>0.25080120167745151</v>
      </c>
      <c r="D48" s="503">
        <v>18.041458110000011</v>
      </c>
      <c r="E48" s="240">
        <f t="shared" si="5"/>
        <v>0.16244629581647307</v>
      </c>
      <c r="F48" s="503">
        <v>10.808934089999997</v>
      </c>
      <c r="G48" s="240">
        <f>(F48/Table223729[[#Totals],[Column6]])*100</f>
        <v>9.6128049363445212E-2</v>
      </c>
      <c r="H48" s="240">
        <f t="shared" si="2"/>
        <v>-40.088356361790808</v>
      </c>
      <c r="I48" s="239">
        <f t="shared" si="3"/>
        <v>-67.060872083439023</v>
      </c>
      <c r="K48" s="241"/>
      <c r="P48" s="4"/>
      <c r="Q48" s="4"/>
      <c r="R48" s="4"/>
      <c r="S48" s="4"/>
      <c r="T48" s="4"/>
    </row>
    <row r="49" spans="1:20" ht="14.5" x14ac:dyDescent="0.35">
      <c r="A49" s="529" t="s">
        <v>285</v>
      </c>
      <c r="B49" s="503">
        <v>37.699286239999992</v>
      </c>
      <c r="C49" s="240">
        <f t="shared" si="4"/>
        <v>0.2881323152429569</v>
      </c>
      <c r="D49" s="503">
        <v>29.087920069999996</v>
      </c>
      <c r="E49" s="240">
        <f t="shared" si="5"/>
        <v>0.26190925586873981</v>
      </c>
      <c r="F49" s="503">
        <v>10.635865830000002</v>
      </c>
      <c r="G49" s="240">
        <f>(F49/Table223729[[#Totals],[Column6]])*100</f>
        <v>9.4588886102572253E-2</v>
      </c>
      <c r="H49" s="240">
        <f t="shared" si="2"/>
        <v>-63.435454290286749</v>
      </c>
      <c r="I49" s="239">
        <f t="shared" si="3"/>
        <v>-71.787620162646334</v>
      </c>
      <c r="K49" s="241"/>
      <c r="P49" s="4"/>
      <c r="Q49" s="4"/>
      <c r="R49" s="4"/>
      <c r="S49" s="4"/>
      <c r="T49" s="4"/>
    </row>
    <row r="50" spans="1:20" ht="14.5" x14ac:dyDescent="0.35">
      <c r="A50" s="529" t="s">
        <v>535</v>
      </c>
      <c r="B50" s="503">
        <v>18.242977240000005</v>
      </c>
      <c r="C50" s="240">
        <f t="shared" si="4"/>
        <v>0.1394294638795732</v>
      </c>
      <c r="D50" s="503">
        <v>19.775086390000013</v>
      </c>
      <c r="E50" s="240">
        <f t="shared" si="5"/>
        <v>0.17805598161302111</v>
      </c>
      <c r="F50" s="503">
        <v>10.350477179999997</v>
      </c>
      <c r="G50" s="240">
        <f>(F50/Table223729[[#Totals],[Column6]])*100</f>
        <v>9.205081398495725E-2</v>
      </c>
      <c r="H50" s="240">
        <f t="shared" si="2"/>
        <v>-47.659003981726777</v>
      </c>
      <c r="I50" s="239">
        <f t="shared" si="3"/>
        <v>-43.263223739021704</v>
      </c>
      <c r="K50" s="241"/>
      <c r="P50" s="4"/>
      <c r="Q50" s="4"/>
      <c r="R50" s="4"/>
      <c r="S50" s="4"/>
      <c r="T50" s="4"/>
    </row>
    <row r="51" spans="1:20" ht="14.5" x14ac:dyDescent="0.35">
      <c r="A51" s="529" t="s">
        <v>538</v>
      </c>
      <c r="B51" s="503">
        <v>5.9279920300000004</v>
      </c>
      <c r="C51" s="240">
        <f t="shared" si="4"/>
        <v>4.5307119542581993E-2</v>
      </c>
      <c r="D51" s="503">
        <v>13.346864579999998</v>
      </c>
      <c r="E51" s="240">
        <f t="shared" si="5"/>
        <v>0.12017591364100033</v>
      </c>
      <c r="F51" s="503">
        <v>8.9477243800000004</v>
      </c>
      <c r="G51" s="240">
        <f>(F51/Table223729[[#Totals],[Column6]])*100</f>
        <v>7.9575588464999361E-2</v>
      </c>
      <c r="H51" s="240">
        <f t="shared" si="2"/>
        <v>-32.960102154569093</v>
      </c>
      <c r="I51" s="239">
        <f t="shared" si="3"/>
        <v>50.940222839672053</v>
      </c>
      <c r="K51" s="241"/>
      <c r="P51" s="4"/>
      <c r="Q51" s="4"/>
      <c r="R51" s="4"/>
      <c r="S51" s="4"/>
      <c r="T51" s="4"/>
    </row>
    <row r="52" spans="1:20" ht="14.5" x14ac:dyDescent="0.35">
      <c r="A52" s="529" t="s">
        <v>533</v>
      </c>
      <c r="B52" s="503">
        <v>36.114908849999971</v>
      </c>
      <c r="C52" s="240">
        <f t="shared" si="4"/>
        <v>0.27602305877870775</v>
      </c>
      <c r="D52" s="503">
        <v>6.7970236899999996</v>
      </c>
      <c r="E52" s="240">
        <f t="shared" si="5"/>
        <v>6.1200780684423001E-2</v>
      </c>
      <c r="F52" s="503">
        <v>8.3358827700000013</v>
      </c>
      <c r="G52" s="240">
        <f>(F52/Table223729[[#Totals],[Column6]])*100</f>
        <v>7.4134243370379618E-2</v>
      </c>
      <c r="H52" s="240">
        <f t="shared" si="2"/>
        <v>22.640190032940755</v>
      </c>
      <c r="I52" s="239">
        <f t="shared" si="3"/>
        <v>-76.918444389206854</v>
      </c>
      <c r="K52" s="241"/>
      <c r="P52" s="4"/>
      <c r="Q52" s="4"/>
      <c r="R52" s="4"/>
      <c r="S52" s="4"/>
      <c r="T52" s="4"/>
    </row>
    <row r="53" spans="1:20" ht="14.5" x14ac:dyDescent="0.35">
      <c r="A53" s="529" t="s">
        <v>560</v>
      </c>
      <c r="B53" s="503">
        <v>1.5713524300000001</v>
      </c>
      <c r="C53" s="240">
        <f t="shared" si="4"/>
        <v>1.2009707845294912E-2</v>
      </c>
      <c r="D53" s="503">
        <v>2.9076432300000006</v>
      </c>
      <c r="E53" s="240">
        <f t="shared" si="5"/>
        <v>2.6180581934646362E-2</v>
      </c>
      <c r="F53" s="503">
        <v>8.1754283400000016</v>
      </c>
      <c r="G53" s="240">
        <f>(F53/Table223729[[#Totals],[Column6]])*100</f>
        <v>7.2707259799271229E-2</v>
      </c>
      <c r="H53" s="240">
        <f t="shared" si="2"/>
        <v>181.17027067313205</v>
      </c>
      <c r="I53" s="239">
        <f t="shared" si="3"/>
        <v>420.2797401726105</v>
      </c>
      <c r="K53" s="241"/>
      <c r="P53" s="4"/>
      <c r="Q53" s="4"/>
      <c r="R53" s="4"/>
      <c r="S53" s="4"/>
      <c r="T53" s="4"/>
    </row>
    <row r="54" spans="1:20" ht="14.5" x14ac:dyDescent="0.35">
      <c r="A54" s="529" t="s">
        <v>252</v>
      </c>
      <c r="B54" s="503">
        <v>0.39886665999999993</v>
      </c>
      <c r="C54" s="240">
        <f t="shared" si="4"/>
        <v>3.048502655657316E-3</v>
      </c>
      <c r="D54" s="503">
        <v>0.86053961999999995</v>
      </c>
      <c r="E54" s="240">
        <f t="shared" si="5"/>
        <v>7.7483467699781851E-3</v>
      </c>
      <c r="F54" s="503">
        <v>7.6909884799999997</v>
      </c>
      <c r="G54" s="240">
        <f>(F54/Table223729[[#Totals],[Column6]])*100</f>
        <v>6.8398947953907691E-2</v>
      </c>
      <c r="H54" s="240">
        <f t="shared" si="2"/>
        <v>793.74019525097526</v>
      </c>
      <c r="I54" s="239">
        <f t="shared" si="3"/>
        <v>1828.2104149792819</v>
      </c>
      <c r="K54" s="241"/>
      <c r="P54" s="4"/>
      <c r="Q54" s="4"/>
      <c r="R54" s="4"/>
      <c r="S54" s="4"/>
      <c r="T54" s="4"/>
    </row>
    <row r="55" spans="1:20" ht="14.5" x14ac:dyDescent="0.35">
      <c r="A55" s="529" t="s">
        <v>541</v>
      </c>
      <c r="B55" s="503">
        <v>56.315817299999999</v>
      </c>
      <c r="C55" s="240">
        <f t="shared" si="4"/>
        <v>0.43041681797762249</v>
      </c>
      <c r="D55" s="503">
        <v>0.97237750999999994</v>
      </c>
      <c r="E55" s="240">
        <f t="shared" si="5"/>
        <v>8.7553413738323052E-3</v>
      </c>
      <c r="F55" s="503">
        <v>7.6433575699999992</v>
      </c>
      <c r="G55" s="240">
        <f>(F55/Table223729[[#Totals],[Column6]])*100</f>
        <v>6.7975347770061451E-2</v>
      </c>
      <c r="H55" s="240">
        <f t="shared" si="2"/>
        <v>686.04837024665449</v>
      </c>
      <c r="I55" s="239">
        <f t="shared" si="3"/>
        <v>-86.427689525869681</v>
      </c>
      <c r="K55" s="241"/>
      <c r="P55" s="4"/>
      <c r="Q55" s="4"/>
      <c r="R55" s="4"/>
      <c r="S55" s="4"/>
      <c r="T55" s="4"/>
    </row>
    <row r="56" spans="1:20" ht="14.5" x14ac:dyDescent="0.35">
      <c r="A56" s="529" t="s">
        <v>527</v>
      </c>
      <c r="B56" s="503">
        <v>18.546709329999995</v>
      </c>
      <c r="C56" s="240">
        <f t="shared" si="4"/>
        <v>0.14175086141872403</v>
      </c>
      <c r="D56" s="503">
        <v>74.615189119999997</v>
      </c>
      <c r="E56" s="240">
        <f t="shared" si="5"/>
        <v>0.67183932752481923</v>
      </c>
      <c r="F56" s="503">
        <v>7.2983938300000002</v>
      </c>
      <c r="G56" s="240">
        <f>(F56/Table223729[[#Totals],[Column6]])*100</f>
        <v>6.490745123639699E-2</v>
      </c>
      <c r="H56" s="240">
        <f t="shared" si="2"/>
        <v>-90.218621816715711</v>
      </c>
      <c r="I56" s="239">
        <f t="shared" si="3"/>
        <v>-60.648578137823208</v>
      </c>
      <c r="K56" s="241"/>
      <c r="P56" s="4"/>
      <c r="Q56" s="4"/>
      <c r="R56" s="4"/>
      <c r="S56" s="4"/>
      <c r="T56" s="4"/>
    </row>
    <row r="57" spans="1:20" ht="14.5" x14ac:dyDescent="0.35">
      <c r="A57" s="529" t="s">
        <v>542</v>
      </c>
      <c r="B57" s="503">
        <v>394.71646704999995</v>
      </c>
      <c r="C57" s="240">
        <f t="shared" si="4"/>
        <v>3.0167830974732222</v>
      </c>
      <c r="D57" s="503">
        <v>6.9457309799999978</v>
      </c>
      <c r="E57" s="240">
        <f t="shared" si="5"/>
        <v>6.2539749423763197E-2</v>
      </c>
      <c r="F57" s="503">
        <v>7.0981682400000006</v>
      </c>
      <c r="G57" s="240">
        <f>(F57/Table223729[[#Totals],[Column6]])*100</f>
        <v>6.3126767291145469E-2</v>
      </c>
      <c r="H57" s="240">
        <f t="shared" si="2"/>
        <v>2.1946899532812481</v>
      </c>
      <c r="I57" s="239">
        <f t="shared" si="3"/>
        <v>-98.201704556931787</v>
      </c>
      <c r="K57" s="241"/>
      <c r="P57" s="4"/>
      <c r="Q57" s="4"/>
      <c r="R57" s="4"/>
      <c r="S57" s="4"/>
      <c r="T57" s="4"/>
    </row>
    <row r="58" spans="1:20" ht="14.5" x14ac:dyDescent="0.35">
      <c r="A58" s="529" t="s">
        <v>543</v>
      </c>
      <c r="B58" s="503">
        <v>8.6851231700000007</v>
      </c>
      <c r="C58" s="240">
        <f t="shared" si="4"/>
        <v>6.6379629343941399E-2</v>
      </c>
      <c r="D58" s="503">
        <v>6.7748161000000007</v>
      </c>
      <c r="E58" s="240">
        <f t="shared" si="5"/>
        <v>6.1000822304533998E-2</v>
      </c>
      <c r="F58" s="503">
        <v>6.2429155399999994</v>
      </c>
      <c r="G58" s="240">
        <f>(F58/Table223729[[#Totals],[Column6]])*100</f>
        <v>5.5520672825283113E-2</v>
      </c>
      <c r="H58" s="240">
        <f t="shared" si="2"/>
        <v>-7.8511438856620934</v>
      </c>
      <c r="I58" s="239">
        <f t="shared" si="3"/>
        <v>-28.119435754645739</v>
      </c>
      <c r="K58" s="241"/>
      <c r="P58" s="4"/>
      <c r="Q58" s="4"/>
      <c r="R58" s="4"/>
      <c r="S58" s="4"/>
      <c r="T58" s="4"/>
    </row>
    <row r="59" spans="1:20" ht="14.5" x14ac:dyDescent="0.35">
      <c r="A59" s="529" t="s">
        <v>550</v>
      </c>
      <c r="B59" s="503">
        <v>1.84917087</v>
      </c>
      <c r="C59" s="240">
        <f t="shared" si="4"/>
        <v>1.4133049646112691E-2</v>
      </c>
      <c r="D59" s="503">
        <v>1.73959606</v>
      </c>
      <c r="E59" s="240">
        <f t="shared" si="5"/>
        <v>1.5663420020762993E-2</v>
      </c>
      <c r="F59" s="503">
        <v>6.0707606599999995</v>
      </c>
      <c r="G59" s="240">
        <f>(F59/Table223729[[#Totals],[Column6]])*100</f>
        <v>5.3989632607533207E-2</v>
      </c>
      <c r="H59" s="240">
        <f t="shared" si="2"/>
        <v>248.97530522114425</v>
      </c>
      <c r="I59" s="239">
        <f t="shared" si="3"/>
        <v>228.29636019520464</v>
      </c>
      <c r="K59" s="241"/>
      <c r="P59" s="4"/>
      <c r="Q59" s="4"/>
      <c r="R59" s="4"/>
      <c r="S59" s="4"/>
      <c r="T59" s="4"/>
    </row>
    <row r="60" spans="1:20" ht="14.5" x14ac:dyDescent="0.35">
      <c r="A60" s="529" t="s">
        <v>555</v>
      </c>
      <c r="B60" s="503">
        <v>2.7170863300000008</v>
      </c>
      <c r="C60" s="240">
        <f t="shared" si="4"/>
        <v>2.0766450855168476E-2</v>
      </c>
      <c r="D60" s="503">
        <v>3.0634686699999993</v>
      </c>
      <c r="E60" s="240">
        <f t="shared" si="5"/>
        <v>2.7583642893890075E-2</v>
      </c>
      <c r="F60" s="503">
        <v>5.3367637800000018</v>
      </c>
      <c r="G60" s="240">
        <f>(F60/Table223729[[#Totals],[Column6]])*100</f>
        <v>4.7461913248181047E-2</v>
      </c>
      <c r="H60" s="240">
        <f t="shared" si="2"/>
        <v>74.206572838886032</v>
      </c>
      <c r="I60" s="239">
        <f t="shared" si="3"/>
        <v>96.414950863927842</v>
      </c>
      <c r="K60" s="241"/>
      <c r="P60" s="4"/>
      <c r="Q60" s="4"/>
      <c r="R60" s="4"/>
      <c r="S60" s="4"/>
      <c r="T60" s="4"/>
    </row>
    <row r="61" spans="1:20" ht="14.5" x14ac:dyDescent="0.35">
      <c r="A61" s="529" t="s">
        <v>519</v>
      </c>
      <c r="B61" s="503">
        <v>192.11707999999999</v>
      </c>
      <c r="C61" s="240">
        <f t="shared" si="4"/>
        <v>1.4683338752282007</v>
      </c>
      <c r="D61" s="503">
        <v>449.40593272000001</v>
      </c>
      <c r="E61" s="240">
        <f t="shared" si="5"/>
        <v>4.0464761020533206</v>
      </c>
      <c r="F61" s="503">
        <v>4.0552173299999996</v>
      </c>
      <c r="G61" s="240">
        <f>(F61/Table223729[[#Totals],[Column6]])*100</f>
        <v>3.6064622878807705E-2</v>
      </c>
      <c r="H61" s="240">
        <f t="shared" si="2"/>
        <v>-99.097649355571235</v>
      </c>
      <c r="I61" s="239">
        <f t="shared" si="3"/>
        <v>-97.889194792050759</v>
      </c>
      <c r="K61" s="241"/>
      <c r="P61" s="4"/>
      <c r="Q61" s="4"/>
      <c r="R61" s="4"/>
      <c r="S61" s="4"/>
      <c r="T61" s="4"/>
    </row>
    <row r="62" spans="1:20" ht="14.5" x14ac:dyDescent="0.35">
      <c r="A62" s="529" t="s">
        <v>263</v>
      </c>
      <c r="B62" s="503">
        <v>23.440235930000004</v>
      </c>
      <c r="C62" s="240">
        <f t="shared" si="4"/>
        <v>0.17915165304074063</v>
      </c>
      <c r="D62" s="503">
        <v>9.1966805499999982</v>
      </c>
      <c r="E62" s="240">
        <f t="shared" si="5"/>
        <v>8.2807424990047174E-2</v>
      </c>
      <c r="F62" s="503">
        <v>3.9074051700000005</v>
      </c>
      <c r="G62" s="240">
        <f>(F62/Table223729[[#Totals],[Column6]])*100</f>
        <v>3.4750071925430823E-2</v>
      </c>
      <c r="H62" s="240">
        <f t="shared" si="2"/>
        <v>-57.512874903543306</v>
      </c>
      <c r="I62" s="239">
        <f t="shared" si="3"/>
        <v>-83.330350506416593</v>
      </c>
      <c r="K62" s="241"/>
      <c r="P62" s="4"/>
      <c r="Q62" s="4"/>
      <c r="R62" s="4"/>
      <c r="S62" s="4"/>
      <c r="T62" s="4"/>
    </row>
    <row r="63" spans="1:20" ht="14.5" x14ac:dyDescent="0.35">
      <c r="A63" s="529" t="s">
        <v>273</v>
      </c>
      <c r="B63" s="503">
        <v>12.691541989999992</v>
      </c>
      <c r="C63" s="240">
        <f t="shared" si="4"/>
        <v>9.700033455015096E-2</v>
      </c>
      <c r="D63" s="503">
        <v>3.6850547499999999</v>
      </c>
      <c r="E63" s="240">
        <f t="shared" si="5"/>
        <v>3.3180438652383341E-2</v>
      </c>
      <c r="F63" s="503">
        <v>3.7447196699999989</v>
      </c>
      <c r="G63" s="240">
        <f>(F63/Table223729[[#Totals],[Column6]])*100</f>
        <v>3.3303246582200616E-2</v>
      </c>
      <c r="H63" s="240">
        <f t="shared" si="2"/>
        <v>1.6191053877828709</v>
      </c>
      <c r="I63" s="239">
        <f t="shared" si="3"/>
        <v>-70.494368036992157</v>
      </c>
      <c r="K63" s="241"/>
      <c r="P63" s="4"/>
      <c r="Q63" s="4"/>
      <c r="R63" s="4"/>
      <c r="S63" s="4"/>
      <c r="T63" s="4"/>
    </row>
    <row r="64" spans="1:20" ht="14.5" x14ac:dyDescent="0.35">
      <c r="A64" s="529" t="s">
        <v>277</v>
      </c>
      <c r="B64" s="503">
        <v>0.97419712999999974</v>
      </c>
      <c r="C64" s="240">
        <f t="shared" si="4"/>
        <v>7.4457026263833014E-3</v>
      </c>
      <c r="D64" s="503">
        <v>1.1427247100000002</v>
      </c>
      <c r="E64" s="240">
        <f t="shared" si="5"/>
        <v>1.0289157070656155E-2</v>
      </c>
      <c r="F64" s="503">
        <v>3.6712502200000001</v>
      </c>
      <c r="G64" s="240">
        <f>(F64/Table223729[[#Totals],[Column6]])*100</f>
        <v>3.2649854225701838E-2</v>
      </c>
      <c r="H64" s="240">
        <f t="shared" si="2"/>
        <v>221.27162280406094</v>
      </c>
      <c r="I64" s="239">
        <f t="shared" si="3"/>
        <v>276.84880266481599</v>
      </c>
      <c r="K64" s="241"/>
      <c r="P64" s="4"/>
      <c r="Q64" s="4"/>
      <c r="R64" s="4"/>
      <c r="S64" s="4"/>
      <c r="T64" s="4"/>
    </row>
    <row r="65" spans="1:20" ht="14.5" x14ac:dyDescent="0.35">
      <c r="A65" s="529" t="s">
        <v>547</v>
      </c>
      <c r="B65" s="503">
        <v>13.553379469999992</v>
      </c>
      <c r="C65" s="240">
        <f t="shared" si="4"/>
        <v>0.10358728229485595</v>
      </c>
      <c r="D65" s="503">
        <v>7.4170626700000017</v>
      </c>
      <c r="E65" s="240">
        <f t="shared" si="5"/>
        <v>6.6783646268164035E-2</v>
      </c>
      <c r="F65" s="503">
        <v>3.5698383899999993</v>
      </c>
      <c r="G65" s="240">
        <f>(F65/Table223729[[#Totals],[Column6]])*100</f>
        <v>3.174795943023849E-2</v>
      </c>
      <c r="H65" s="240">
        <f t="shared" si="2"/>
        <v>-51.869917394132003</v>
      </c>
      <c r="I65" s="239">
        <f t="shared" si="3"/>
        <v>-73.660898391417945</v>
      </c>
      <c r="K65" s="241"/>
      <c r="P65" s="4"/>
      <c r="Q65" s="4"/>
      <c r="R65" s="4"/>
      <c r="S65" s="4"/>
      <c r="T65" s="4"/>
    </row>
    <row r="66" spans="1:20" ht="14.5" x14ac:dyDescent="0.35">
      <c r="A66" s="529" t="s">
        <v>551</v>
      </c>
      <c r="B66" s="503">
        <v>2.9103256799999992</v>
      </c>
      <c r="C66" s="240">
        <f t="shared" si="4"/>
        <v>2.2243362140891104E-2</v>
      </c>
      <c r="D66" s="503">
        <v>2.6134464699999991</v>
      </c>
      <c r="E66" s="240">
        <f t="shared" si="5"/>
        <v>2.3531617886850327E-2</v>
      </c>
      <c r="F66" s="503">
        <v>3.4948663500000006</v>
      </c>
      <c r="G66" s="240">
        <f>(F66/Table223729[[#Totals],[Column6]])*100</f>
        <v>3.1081203957220516E-2</v>
      </c>
      <c r="H66" s="240">
        <f t="shared" si="2"/>
        <v>33.726341446741095</v>
      </c>
      <c r="I66" s="239">
        <f t="shared" si="3"/>
        <v>20.085060377160314</v>
      </c>
      <c r="K66" s="241"/>
      <c r="P66" s="4"/>
      <c r="Q66" s="4"/>
      <c r="R66" s="4"/>
      <c r="S66" s="4"/>
      <c r="T66" s="4"/>
    </row>
    <row r="67" spans="1:20" ht="14.5" x14ac:dyDescent="0.35">
      <c r="A67" s="529" t="s">
        <v>549</v>
      </c>
      <c r="B67" s="503">
        <v>2.5672567000000002</v>
      </c>
      <c r="C67" s="240">
        <f t="shared" si="4"/>
        <v>1.9621316225587868E-2</v>
      </c>
      <c r="D67" s="503">
        <v>3.3010626300000006</v>
      </c>
      <c r="E67" s="240">
        <f t="shared" si="5"/>
        <v>2.9722952171169291E-2</v>
      </c>
      <c r="F67" s="503">
        <v>3.03718317</v>
      </c>
      <c r="G67" s="240">
        <f>(F67/Table223729[[#Totals],[Column6]])*100</f>
        <v>2.7010849660161547E-2</v>
      </c>
      <c r="H67" s="240">
        <f t="shared" si="2"/>
        <v>-7.9937732050845867</v>
      </c>
      <c r="I67" s="239">
        <f t="shared" si="3"/>
        <v>18.304615584409611</v>
      </c>
      <c r="K67" s="241"/>
      <c r="P67" s="4"/>
      <c r="Q67" s="4"/>
      <c r="R67" s="4"/>
      <c r="S67" s="4"/>
      <c r="T67" s="4"/>
    </row>
    <row r="68" spans="1:20" ht="14.5" x14ac:dyDescent="0.35">
      <c r="A68" s="529" t="s">
        <v>238</v>
      </c>
      <c r="B68" s="503">
        <v>3.6220056699999996</v>
      </c>
      <c r="C68" s="240">
        <f t="shared" ref="C68:C99" si="6">(B68/$B$183)*100</f>
        <v>2.7682669450991109E-2</v>
      </c>
      <c r="D68" s="503">
        <v>4.9155463399999979</v>
      </c>
      <c r="E68" s="240">
        <f t="shared" ref="E68:E99" si="7">(D68/$D$183)*100</f>
        <v>4.4259853609316765E-2</v>
      </c>
      <c r="F68" s="503">
        <v>2.9172197400000002</v>
      </c>
      <c r="G68" s="240">
        <f>(F68/Table223729[[#Totals],[Column6]])*100</f>
        <v>2.594396827992286E-2</v>
      </c>
      <c r="H68" s="240">
        <f t="shared" si="2"/>
        <v>-40.653194208316599</v>
      </c>
      <c r="I68" s="239">
        <f t="shared" si="3"/>
        <v>-19.458443586588846</v>
      </c>
      <c r="K68" s="241"/>
      <c r="P68" s="4"/>
      <c r="Q68" s="4"/>
      <c r="R68" s="4"/>
      <c r="S68" s="4"/>
      <c r="T68" s="4"/>
    </row>
    <row r="69" spans="1:20" ht="14.5" x14ac:dyDescent="0.35">
      <c r="A69" s="529" t="s">
        <v>281</v>
      </c>
      <c r="B69" s="503">
        <v>0.19657041999999997</v>
      </c>
      <c r="C69" s="240">
        <f t="shared" si="6"/>
        <v>1.5023703595423944E-3</v>
      </c>
      <c r="D69" s="503">
        <v>0.67480125000000013</v>
      </c>
      <c r="E69" s="240">
        <f t="shared" si="7"/>
        <v>6.0759481194076143E-3</v>
      </c>
      <c r="F69" s="503">
        <v>2.420433679999999</v>
      </c>
      <c r="G69" s="240">
        <f>(F69/Table223729[[#Totals],[Column6]])*100</f>
        <v>2.152585688233994E-2</v>
      </c>
      <c r="H69" s="240">
        <f t="shared" ref="H69:H130" si="8">((F69/D69)-1)*100</f>
        <v>258.68838120854082</v>
      </c>
      <c r="I69" s="239">
        <f t="shared" ref="I69:I130" si="9">((F69/B69)-1)*100</f>
        <v>1131.3315909891221</v>
      </c>
      <c r="K69" s="241"/>
      <c r="P69" s="4"/>
      <c r="Q69" s="4"/>
      <c r="R69" s="4"/>
      <c r="S69" s="4"/>
      <c r="T69" s="4"/>
    </row>
    <row r="70" spans="1:20" ht="14.5" x14ac:dyDescent="0.35">
      <c r="A70" s="529" t="s">
        <v>559</v>
      </c>
      <c r="B70" s="503">
        <v>1.38170557</v>
      </c>
      <c r="C70" s="240">
        <f t="shared" si="6"/>
        <v>1.0560253643364192E-2</v>
      </c>
      <c r="D70" s="503">
        <v>2.3469516899999996</v>
      </c>
      <c r="E70" s="240">
        <f t="shared" si="7"/>
        <v>2.1132084013175758E-2</v>
      </c>
      <c r="F70" s="503">
        <v>2.4080496299999998</v>
      </c>
      <c r="G70" s="240">
        <f>(F70/Table223729[[#Totals],[Column6]])*100</f>
        <v>2.1415720715368521E-2</v>
      </c>
      <c r="H70" s="240">
        <f t="shared" si="8"/>
        <v>2.6032892053265977</v>
      </c>
      <c r="I70" s="239">
        <f t="shared" si="9"/>
        <v>74.28095263450372</v>
      </c>
      <c r="K70" s="241"/>
      <c r="P70" s="4"/>
      <c r="Q70" s="4"/>
      <c r="R70" s="4"/>
      <c r="S70" s="4"/>
      <c r="T70" s="4"/>
    </row>
    <row r="71" spans="1:20" ht="14.5" x14ac:dyDescent="0.35">
      <c r="A71" s="529" t="s">
        <v>261</v>
      </c>
      <c r="B71" s="503">
        <v>172.14168706000007</v>
      </c>
      <c r="C71" s="240">
        <f t="shared" si="6"/>
        <v>1.3156637111553544</v>
      </c>
      <c r="D71" s="503">
        <v>0.81305152999999997</v>
      </c>
      <c r="E71" s="240">
        <f t="shared" si="7"/>
        <v>7.3207613570439919E-3</v>
      </c>
      <c r="F71" s="503">
        <v>2.1623472500000003</v>
      </c>
      <c r="G71" s="240">
        <f>(F71/Table223729[[#Totals],[Column6]])*100</f>
        <v>1.9230594012152966E-2</v>
      </c>
      <c r="H71" s="240">
        <f t="shared" si="8"/>
        <v>165.95451459269751</v>
      </c>
      <c r="I71" s="239">
        <f t="shared" si="9"/>
        <v>-98.74385612983663</v>
      </c>
      <c r="K71" s="241"/>
      <c r="P71" s="4"/>
      <c r="Q71" s="4"/>
      <c r="R71" s="4"/>
      <c r="S71" s="4"/>
      <c r="T71" s="4"/>
    </row>
    <row r="72" spans="1:20" ht="14.5" x14ac:dyDescent="0.35">
      <c r="A72" s="529" t="s">
        <v>537</v>
      </c>
      <c r="B72" s="503">
        <v>1.2724135700000003</v>
      </c>
      <c r="C72" s="240">
        <f t="shared" si="6"/>
        <v>9.7249445397101075E-3</v>
      </c>
      <c r="D72" s="503">
        <v>1.9551664700000002</v>
      </c>
      <c r="E72" s="240">
        <f t="shared" si="7"/>
        <v>1.7604428024585495E-2</v>
      </c>
      <c r="F72" s="503">
        <v>2.1353347900000004</v>
      </c>
      <c r="G72" s="240">
        <f>(F72/Table223729[[#Totals],[Column6]])*100</f>
        <v>1.8990361712956101E-2</v>
      </c>
      <c r="H72" s="240">
        <f t="shared" si="8"/>
        <v>9.2149861796678714</v>
      </c>
      <c r="I72" s="239">
        <f t="shared" si="9"/>
        <v>67.817668747434041</v>
      </c>
      <c r="K72" s="241"/>
      <c r="P72" s="4"/>
      <c r="Q72" s="4"/>
      <c r="R72" s="4"/>
      <c r="S72" s="4"/>
      <c r="T72" s="4"/>
    </row>
    <row r="73" spans="1:20" ht="14.5" x14ac:dyDescent="0.35">
      <c r="A73" s="529" t="s">
        <v>556</v>
      </c>
      <c r="B73" s="503">
        <v>1.8105925700000001</v>
      </c>
      <c r="C73" s="240">
        <f t="shared" si="6"/>
        <v>1.3838199106333948E-2</v>
      </c>
      <c r="D73" s="503">
        <v>2.5469616200000007</v>
      </c>
      <c r="E73" s="240">
        <f t="shared" si="7"/>
        <v>2.2932984586561407E-2</v>
      </c>
      <c r="F73" s="503">
        <v>1.9666650400000003</v>
      </c>
      <c r="G73" s="240">
        <f>(F73/Table223729[[#Totals],[Column6]])*100</f>
        <v>1.7490316110020984E-2</v>
      </c>
      <c r="H73" s="240">
        <f t="shared" si="8"/>
        <v>-22.783876107249711</v>
      </c>
      <c r="I73" s="239">
        <f t="shared" si="9"/>
        <v>8.6199663351098401</v>
      </c>
      <c r="K73" s="241"/>
      <c r="P73" s="4"/>
      <c r="Q73" s="4"/>
      <c r="R73" s="4"/>
      <c r="S73" s="4"/>
      <c r="T73" s="4"/>
    </row>
    <row r="74" spans="1:20" ht="14.5" x14ac:dyDescent="0.35">
      <c r="A74" s="529" t="s">
        <v>530</v>
      </c>
      <c r="B74" s="503">
        <v>2.3010939999999997E-2</v>
      </c>
      <c r="C74" s="240">
        <f t="shared" si="6"/>
        <v>1.7587058216189634E-4</v>
      </c>
      <c r="D74" s="503">
        <v>1.14245167</v>
      </c>
      <c r="E74" s="240">
        <f t="shared" si="7"/>
        <v>1.0286698603256273E-2</v>
      </c>
      <c r="F74" s="503">
        <v>1.67482237</v>
      </c>
      <c r="G74" s="240">
        <f>(F74/Table223729[[#Totals],[Column6]])*100</f>
        <v>1.4894845885618898E-2</v>
      </c>
      <c r="H74" s="240">
        <f t="shared" si="8"/>
        <v>46.598969039976978</v>
      </c>
      <c r="I74" s="239">
        <f t="shared" si="9"/>
        <v>7178.3744166904962</v>
      </c>
      <c r="K74" s="241"/>
      <c r="P74" s="4"/>
      <c r="Q74" s="4"/>
      <c r="R74" s="4"/>
      <c r="S74" s="4"/>
      <c r="T74" s="4"/>
    </row>
    <row r="75" spans="1:20" ht="14.5" x14ac:dyDescent="0.35">
      <c r="A75" s="529" t="s">
        <v>608</v>
      </c>
      <c r="B75" s="503">
        <v>0.23881100999999999</v>
      </c>
      <c r="C75" s="240">
        <f t="shared" si="6"/>
        <v>1.8252114583485264E-3</v>
      </c>
      <c r="D75" s="503">
        <v>0.59726032000000007</v>
      </c>
      <c r="E75" s="240">
        <f t="shared" si="7"/>
        <v>5.3777652576974177E-3</v>
      </c>
      <c r="F75" s="503">
        <v>1.61312802</v>
      </c>
      <c r="G75" s="240">
        <f>(F75/Table223729[[#Totals],[Column6]])*100</f>
        <v>1.4346174067207831E-2</v>
      </c>
      <c r="H75" s="240">
        <f t="shared" si="8"/>
        <v>170.08792748863675</v>
      </c>
      <c r="I75" s="239">
        <f t="shared" si="9"/>
        <v>575.48310272629385</v>
      </c>
      <c r="K75" s="241"/>
      <c r="P75" s="4"/>
      <c r="Q75" s="4"/>
      <c r="R75" s="4"/>
      <c r="S75" s="4"/>
      <c r="T75" s="4"/>
    </row>
    <row r="76" spans="1:20" ht="14.5" x14ac:dyDescent="0.35">
      <c r="A76" s="529" t="s">
        <v>554</v>
      </c>
      <c r="B76" s="503">
        <v>0.4373336300000002</v>
      </c>
      <c r="C76" s="240">
        <f t="shared" si="6"/>
        <v>3.3425023100783981E-3</v>
      </c>
      <c r="D76" s="503">
        <v>0.84190903000000006</v>
      </c>
      <c r="E76" s="240">
        <f t="shared" si="7"/>
        <v>7.5805958977414279E-3</v>
      </c>
      <c r="F76" s="503">
        <v>1.3866159399999998</v>
      </c>
      <c r="G76" s="240">
        <f>(F76/Table223729[[#Totals],[Column6]])*100</f>
        <v>1.2331714155957074E-2</v>
      </c>
      <c r="H76" s="240">
        <f t="shared" si="8"/>
        <v>64.699022173452605</v>
      </c>
      <c r="I76" s="239">
        <f t="shared" si="9"/>
        <v>217.06135656661004</v>
      </c>
      <c r="K76" s="241"/>
      <c r="P76" s="4"/>
      <c r="Q76" s="4"/>
      <c r="R76" s="4"/>
      <c r="S76" s="4"/>
      <c r="T76" s="4"/>
    </row>
    <row r="77" spans="1:20" ht="14.5" x14ac:dyDescent="0.35">
      <c r="A77" s="529" t="s">
        <v>271</v>
      </c>
      <c r="B77" s="503">
        <v>2.589070410000001</v>
      </c>
      <c r="C77" s="240">
        <f t="shared" si="6"/>
        <v>1.9788036484595581E-2</v>
      </c>
      <c r="D77" s="503">
        <v>1.8051597699999999</v>
      </c>
      <c r="E77" s="240">
        <f t="shared" si="7"/>
        <v>1.6253759325077985E-2</v>
      </c>
      <c r="F77" s="503">
        <v>1.3374847500000004</v>
      </c>
      <c r="G77" s="240">
        <f>(F77/Table223729[[#Totals],[Column6]])*100</f>
        <v>1.1894771399318917E-2</v>
      </c>
      <c r="H77" s="240">
        <f t="shared" si="8"/>
        <v>-25.90768018279066</v>
      </c>
      <c r="I77" s="239">
        <f t="shared" si="9"/>
        <v>-48.341121012618579</v>
      </c>
      <c r="K77" s="241"/>
      <c r="P77" s="4"/>
      <c r="Q77" s="4"/>
      <c r="R77" s="4"/>
      <c r="S77" s="4"/>
      <c r="T77" s="4"/>
    </row>
    <row r="78" spans="1:20" ht="14.5" x14ac:dyDescent="0.35">
      <c r="A78" s="529" t="s">
        <v>611</v>
      </c>
      <c r="B78" s="503">
        <v>1.7587800000000002E-3</v>
      </c>
      <c r="C78" s="240">
        <f t="shared" si="6"/>
        <v>1.3442200209756755E-5</v>
      </c>
      <c r="D78" s="503">
        <v>4.3518260000000003E-2</v>
      </c>
      <c r="E78" s="240">
        <f t="shared" si="7"/>
        <v>3.9184084203592028E-4</v>
      </c>
      <c r="F78" s="503">
        <v>1.2487292399999999</v>
      </c>
      <c r="G78" s="240">
        <f>(F78/Table223729[[#Totals],[Column6]])*100</f>
        <v>1.1105434173694497E-2</v>
      </c>
      <c r="H78" s="240">
        <f t="shared" si="8"/>
        <v>2769.4374269559485</v>
      </c>
      <c r="I78" s="239">
        <f t="shared" si="9"/>
        <v>70899.740729369209</v>
      </c>
      <c r="K78" s="241"/>
      <c r="P78" s="4"/>
      <c r="Q78" s="4"/>
      <c r="R78" s="4"/>
      <c r="S78" s="4"/>
      <c r="T78" s="4"/>
    </row>
    <row r="79" spans="1:20" ht="14.5" x14ac:dyDescent="0.35">
      <c r="A79" s="529" t="s">
        <v>571</v>
      </c>
      <c r="B79" s="503">
        <v>0.24495805000000004</v>
      </c>
      <c r="C79" s="240">
        <f t="shared" si="6"/>
        <v>1.8721927421801508E-3</v>
      </c>
      <c r="D79" s="503">
        <v>0.15702341</v>
      </c>
      <c r="E79" s="240">
        <f t="shared" si="7"/>
        <v>1.4138475479890866E-3</v>
      </c>
      <c r="F79" s="503">
        <v>1.2244703800000001</v>
      </c>
      <c r="G79" s="240">
        <f>(F79/Table223729[[#Totals],[Column6]])*100</f>
        <v>1.0889690708875119E-2</v>
      </c>
      <c r="H79" s="240">
        <f t="shared" si="8"/>
        <v>679.80116467983976</v>
      </c>
      <c r="I79" s="239">
        <f t="shared" si="9"/>
        <v>399.86941845756849</v>
      </c>
      <c r="K79" s="241"/>
      <c r="P79" s="4"/>
      <c r="Q79" s="4"/>
      <c r="R79" s="4"/>
      <c r="S79" s="4"/>
      <c r="T79" s="4"/>
    </row>
    <row r="80" spans="1:20" ht="14.5" x14ac:dyDescent="0.35">
      <c r="A80" s="529" t="s">
        <v>552</v>
      </c>
      <c r="B80" s="503">
        <v>2.1090095400000002</v>
      </c>
      <c r="C80" s="240">
        <f t="shared" si="6"/>
        <v>1.6118973652740533E-2</v>
      </c>
      <c r="D80" s="503">
        <v>4.9624037599999991</v>
      </c>
      <c r="E80" s="240">
        <f t="shared" si="7"/>
        <v>4.468176043436977E-2</v>
      </c>
      <c r="F80" s="503">
        <v>1.0964385800000001</v>
      </c>
      <c r="G80" s="240">
        <f>(F80/Table223729[[#Totals],[Column6]])*100</f>
        <v>9.7510541802393221E-3</v>
      </c>
      <c r="H80" s="240">
        <f t="shared" si="8"/>
        <v>-77.905091301962088</v>
      </c>
      <c r="I80" s="239">
        <f t="shared" si="9"/>
        <v>-48.011682298980972</v>
      </c>
      <c r="K80" s="241"/>
      <c r="P80" s="4"/>
      <c r="Q80" s="4"/>
      <c r="R80" s="4"/>
      <c r="S80" s="4"/>
      <c r="T80" s="4"/>
    </row>
    <row r="81" spans="1:20" ht="14.5" x14ac:dyDescent="0.35">
      <c r="A81" s="529" t="s">
        <v>258</v>
      </c>
      <c r="B81" s="503">
        <v>0.12139929999999999</v>
      </c>
      <c r="C81" s="240">
        <f t="shared" si="6"/>
        <v>9.2784412827319094E-4</v>
      </c>
      <c r="D81" s="503">
        <v>1.05056898</v>
      </c>
      <c r="E81" s="240">
        <f t="shared" si="7"/>
        <v>9.4593817340127544E-3</v>
      </c>
      <c r="F81" s="503">
        <v>0.95889986000000005</v>
      </c>
      <c r="G81" s="240">
        <f>(F81/Table223729[[#Totals],[Column6]])*100</f>
        <v>8.5278689192821912E-3</v>
      </c>
      <c r="H81" s="240">
        <f t="shared" si="8"/>
        <v>-8.7256640682461413</v>
      </c>
      <c r="I81" s="239">
        <f t="shared" si="9"/>
        <v>689.87264341721914</v>
      </c>
      <c r="K81" s="241"/>
      <c r="P81" s="4"/>
      <c r="Q81" s="4"/>
      <c r="R81" s="4"/>
      <c r="S81" s="4"/>
      <c r="T81" s="4"/>
    </row>
    <row r="82" spans="1:20" ht="14.5" x14ac:dyDescent="0.35">
      <c r="A82" s="529" t="s">
        <v>265</v>
      </c>
      <c r="B82" s="503">
        <v>0.46939399999999992</v>
      </c>
      <c r="C82" s="240">
        <f t="shared" si="6"/>
        <v>3.5875368865114225E-3</v>
      </c>
      <c r="D82" s="503">
        <v>0.98615436000000001</v>
      </c>
      <c r="E82" s="240">
        <f t="shared" si="7"/>
        <v>8.8793889001948616E-3</v>
      </c>
      <c r="F82" s="503">
        <v>0.83025406000000024</v>
      </c>
      <c r="G82" s="240">
        <f>(F82/Table223729[[#Totals],[Column6]])*100</f>
        <v>7.3837718501511222E-3</v>
      </c>
      <c r="H82" s="240">
        <f t="shared" si="8"/>
        <v>-15.808914539504727</v>
      </c>
      <c r="I82" s="239">
        <f t="shared" si="9"/>
        <v>76.877859538042756</v>
      </c>
      <c r="K82" s="241"/>
      <c r="P82" s="4"/>
      <c r="Q82" s="4"/>
      <c r="R82" s="4"/>
      <c r="S82" s="4"/>
      <c r="T82" s="4"/>
    </row>
    <row r="83" spans="1:20" ht="14.5" x14ac:dyDescent="0.35">
      <c r="A83" s="529" t="s">
        <v>236</v>
      </c>
      <c r="B83" s="503">
        <v>1.0101653800000001</v>
      </c>
      <c r="C83" s="240">
        <f t="shared" si="6"/>
        <v>7.720604784523937E-3</v>
      </c>
      <c r="D83" s="503">
        <v>0.47638057000000006</v>
      </c>
      <c r="E83" s="240">
        <f t="shared" si="7"/>
        <v>4.2893572417268449E-3</v>
      </c>
      <c r="F83" s="503">
        <v>0.70450971000000007</v>
      </c>
      <c r="G83" s="240">
        <f>(F83/Table223729[[#Totals],[Column6]])*100</f>
        <v>6.265478502876733E-3</v>
      </c>
      <c r="H83" s="240">
        <f t="shared" si="8"/>
        <v>47.888002653004925</v>
      </c>
      <c r="I83" s="239">
        <f t="shared" si="9"/>
        <v>-30.257983103717134</v>
      </c>
      <c r="K83" s="241"/>
      <c r="P83" s="4"/>
      <c r="Q83" s="4"/>
      <c r="R83" s="4"/>
      <c r="S83" s="4"/>
      <c r="T83" s="4"/>
    </row>
    <row r="84" spans="1:20" ht="14.5" x14ac:dyDescent="0.35">
      <c r="A84" s="529" t="s">
        <v>561</v>
      </c>
      <c r="B84" s="503">
        <v>5.3917120000000006E-2</v>
      </c>
      <c r="C84" s="240">
        <f t="shared" si="6"/>
        <v>4.1208378635956746E-4</v>
      </c>
      <c r="D84" s="503">
        <v>0.37178967999999996</v>
      </c>
      <c r="E84" s="240">
        <f t="shared" si="7"/>
        <v>3.3476150303680644E-3</v>
      </c>
      <c r="F84" s="503">
        <v>0.52156246999999989</v>
      </c>
      <c r="G84" s="240">
        <f>(F84/Table223729[[#Totals],[Column6]])*100</f>
        <v>4.6384576355836035E-3</v>
      </c>
      <c r="H84" s="240">
        <f t="shared" si="8"/>
        <v>40.284278466255415</v>
      </c>
      <c r="I84" s="239">
        <f t="shared" si="9"/>
        <v>867.34111540082233</v>
      </c>
      <c r="K84" s="241"/>
      <c r="P84" s="4"/>
      <c r="Q84" s="4"/>
      <c r="R84" s="4"/>
      <c r="S84" s="4"/>
      <c r="T84" s="4"/>
    </row>
    <row r="85" spans="1:20" ht="14.5" x14ac:dyDescent="0.35">
      <c r="A85" s="529" t="s">
        <v>531</v>
      </c>
      <c r="B85" s="503">
        <v>0.26937040000000001</v>
      </c>
      <c r="C85" s="240">
        <f t="shared" si="6"/>
        <v>2.0587741772036643E-3</v>
      </c>
      <c r="D85" s="503">
        <v>6.118370610000003</v>
      </c>
      <c r="E85" s="240">
        <f t="shared" si="7"/>
        <v>5.5090150472703374E-2</v>
      </c>
      <c r="F85" s="503">
        <v>0.50990552000000011</v>
      </c>
      <c r="G85" s="240">
        <f>(F85/Table223729[[#Totals],[Column6]])*100</f>
        <v>4.5347878513387454E-3</v>
      </c>
      <c r="H85" s="240">
        <f t="shared" si="8"/>
        <v>-91.66599160948833</v>
      </c>
      <c r="I85" s="239">
        <f t="shared" si="9"/>
        <v>89.295304903582618</v>
      </c>
      <c r="K85" s="241"/>
      <c r="P85" s="4"/>
      <c r="Q85" s="4"/>
      <c r="R85" s="4"/>
      <c r="S85" s="4"/>
      <c r="T85" s="4"/>
    </row>
    <row r="86" spans="1:20" ht="14.5" x14ac:dyDescent="0.35">
      <c r="A86" s="529" t="s">
        <v>567</v>
      </c>
      <c r="B86" s="503">
        <v>0.39566230000000002</v>
      </c>
      <c r="C86" s="240">
        <f t="shared" si="6"/>
        <v>3.0240120151769061E-3</v>
      </c>
      <c r="D86" s="503">
        <v>0.11275169999999998</v>
      </c>
      <c r="E86" s="240">
        <f t="shared" si="7"/>
        <v>1.0152226000989346E-3</v>
      </c>
      <c r="F86" s="503">
        <v>0.47650822000000004</v>
      </c>
      <c r="G86" s="240">
        <f>(F86/Table223729[[#Totals],[Column6]])*100</f>
        <v>4.2377726899662706E-3</v>
      </c>
      <c r="H86" s="240">
        <f t="shared" si="8"/>
        <v>322.61732639064434</v>
      </c>
      <c r="I86" s="239">
        <f t="shared" si="9"/>
        <v>20.433061224180314</v>
      </c>
      <c r="K86" s="241"/>
      <c r="P86" s="4"/>
      <c r="Q86" s="4"/>
      <c r="R86" s="4"/>
      <c r="S86" s="4"/>
      <c r="T86" s="4"/>
    </row>
    <row r="87" spans="1:20" ht="14.5" x14ac:dyDescent="0.35">
      <c r="A87" s="529" t="s">
        <v>557</v>
      </c>
      <c r="B87" s="503">
        <v>0.15707906999999999</v>
      </c>
      <c r="C87" s="240">
        <f t="shared" si="6"/>
        <v>1.200541459251524E-3</v>
      </c>
      <c r="D87" s="503">
        <v>3.6137639999999999E-2</v>
      </c>
      <c r="E87" s="240">
        <f t="shared" si="7"/>
        <v>3.2538532760250418E-4</v>
      </c>
      <c r="F87" s="503">
        <v>0.44734664000000002</v>
      </c>
      <c r="G87" s="240">
        <f>(F87/Table223729[[#Totals],[Column6]])*100</f>
        <v>3.9784274318293454E-3</v>
      </c>
      <c r="H87" s="240">
        <f t="shared" si="8"/>
        <v>1137.8966639769505</v>
      </c>
      <c r="I87" s="239">
        <f t="shared" si="9"/>
        <v>184.79073628332537</v>
      </c>
      <c r="K87" s="241"/>
      <c r="P87" s="4"/>
      <c r="Q87" s="4"/>
      <c r="R87" s="4"/>
      <c r="S87" s="4"/>
      <c r="T87" s="4"/>
    </row>
    <row r="88" spans="1:20" ht="14.5" x14ac:dyDescent="0.35">
      <c r="A88" s="529" t="s">
        <v>565</v>
      </c>
      <c r="B88" s="503">
        <v>0.30517871000000008</v>
      </c>
      <c r="C88" s="240">
        <f t="shared" si="6"/>
        <v>2.3324539280497256E-3</v>
      </c>
      <c r="D88" s="503">
        <v>6.2785660000000007E-2</v>
      </c>
      <c r="E88" s="240">
        <f t="shared" si="7"/>
        <v>5.6532558705658269E-4</v>
      </c>
      <c r="F88" s="503">
        <v>0.43621588</v>
      </c>
      <c r="G88" s="240">
        <f>(F88/Table223729[[#Totals],[Column6]])*100</f>
        <v>3.8794372596418244E-3</v>
      </c>
      <c r="H88" s="240">
        <f t="shared" si="8"/>
        <v>594.76992039265008</v>
      </c>
      <c r="I88" s="239">
        <f t="shared" si="9"/>
        <v>42.937847794166203</v>
      </c>
      <c r="K88" s="241"/>
      <c r="P88" s="4"/>
      <c r="Q88" s="4"/>
      <c r="R88" s="4"/>
      <c r="S88" s="4"/>
      <c r="T88" s="4"/>
    </row>
    <row r="89" spans="1:20" ht="14.5" x14ac:dyDescent="0.35">
      <c r="A89" s="529" t="s">
        <v>288</v>
      </c>
      <c r="B89" s="503">
        <v>4.0391200000000002E-3</v>
      </c>
      <c r="C89" s="240">
        <f t="shared" si="6"/>
        <v>3.0870637436878232E-5</v>
      </c>
      <c r="D89" s="503">
        <v>0.42269855000000001</v>
      </c>
      <c r="E89" s="240">
        <f t="shared" si="7"/>
        <v>3.8060013373549988E-3</v>
      </c>
      <c r="F89" s="503">
        <v>0.43088727000000004</v>
      </c>
      <c r="G89" s="240">
        <f>(F89/Table223729[[#Totals],[Column6]])*100</f>
        <v>3.8320478611263468E-3</v>
      </c>
      <c r="H89" s="240">
        <f t="shared" si="8"/>
        <v>1.9372481878634495</v>
      </c>
      <c r="I89" s="239">
        <f t="shared" si="9"/>
        <v>10567.850175285706</v>
      </c>
      <c r="K89" s="241"/>
      <c r="P89" s="4"/>
      <c r="Q89" s="4"/>
      <c r="R89" s="4"/>
      <c r="S89" s="4"/>
      <c r="T89" s="4"/>
    </row>
    <row r="90" spans="1:20" ht="14.5" x14ac:dyDescent="0.35">
      <c r="A90" s="529" t="s">
        <v>523</v>
      </c>
      <c r="B90" s="503">
        <v>0.12346005</v>
      </c>
      <c r="C90" s="240">
        <f t="shared" si="6"/>
        <v>9.4359425852385127E-4</v>
      </c>
      <c r="D90" s="503">
        <v>0.44194833</v>
      </c>
      <c r="E90" s="240">
        <f t="shared" si="7"/>
        <v>3.9793274309121909E-3</v>
      </c>
      <c r="F90" s="503">
        <v>0.42154795</v>
      </c>
      <c r="G90" s="240">
        <f>(F90/Table223729[[#Totals],[Column6]])*100</f>
        <v>3.7489896607056789E-3</v>
      </c>
      <c r="H90" s="240">
        <f t="shared" si="8"/>
        <v>-4.6160102019165876</v>
      </c>
      <c r="I90" s="239">
        <f t="shared" si="9"/>
        <v>241.44482364943153</v>
      </c>
      <c r="K90" s="241"/>
      <c r="P90" s="4"/>
      <c r="Q90" s="4"/>
      <c r="R90" s="4"/>
      <c r="S90" s="4"/>
      <c r="T90" s="4"/>
    </row>
    <row r="91" spans="1:20" ht="14.5" x14ac:dyDescent="0.35">
      <c r="A91" s="529" t="s">
        <v>280</v>
      </c>
      <c r="B91" s="503">
        <v>8.5638139999999988E-2</v>
      </c>
      <c r="C91" s="240">
        <f t="shared" si="6"/>
        <v>6.545247407129817E-4</v>
      </c>
      <c r="D91" s="503">
        <v>0.60468345000000001</v>
      </c>
      <c r="E91" s="240">
        <f t="shared" si="7"/>
        <v>5.4446035345435528E-3</v>
      </c>
      <c r="F91" s="503">
        <v>0.34487814999999999</v>
      </c>
      <c r="G91" s="240">
        <f>(F91/Table223729[[#Totals],[Column6]])*100</f>
        <v>3.0671353485488472E-3</v>
      </c>
      <c r="H91" s="240">
        <f t="shared" si="8"/>
        <v>-42.96550534002543</v>
      </c>
      <c r="I91" s="239">
        <f t="shared" si="9"/>
        <v>302.71560078254856</v>
      </c>
      <c r="K91" s="241"/>
      <c r="P91" s="4"/>
      <c r="Q91" s="4"/>
      <c r="R91" s="4"/>
      <c r="S91" s="4"/>
      <c r="T91" s="4"/>
    </row>
    <row r="92" spans="1:20" ht="14.5" x14ac:dyDescent="0.35">
      <c r="A92" s="529" t="s">
        <v>327</v>
      </c>
      <c r="B92" s="503">
        <v>1.0419059999999999E-2</v>
      </c>
      <c r="C92" s="240">
        <f t="shared" si="6"/>
        <v>7.9631955399463356E-5</v>
      </c>
      <c r="D92" s="503"/>
      <c r="E92" s="240">
        <f t="shared" si="7"/>
        <v>0</v>
      </c>
      <c r="F92" s="503">
        <v>0.33352221999999992</v>
      </c>
      <c r="G92" s="240">
        <f>(F92/Table223729[[#Totals],[Column6]])*100</f>
        <v>2.9661426520888176E-3</v>
      </c>
      <c r="H92" s="240" t="s">
        <v>240</v>
      </c>
      <c r="I92" s="239">
        <f t="shared" si="9"/>
        <v>3101.0778323572376</v>
      </c>
      <c r="K92" s="241"/>
      <c r="P92" s="4"/>
      <c r="Q92" s="4"/>
      <c r="R92" s="4"/>
      <c r="S92" s="4"/>
      <c r="T92" s="4"/>
    </row>
    <row r="93" spans="1:20" ht="14.5" x14ac:dyDescent="0.35">
      <c r="A93" s="529" t="s">
        <v>569</v>
      </c>
      <c r="B93" s="503">
        <v>0.16852684999999998</v>
      </c>
      <c r="C93" s="240">
        <f t="shared" si="6"/>
        <v>1.2880358307574822E-3</v>
      </c>
      <c r="D93" s="503">
        <v>8.3685160000000008E-2</v>
      </c>
      <c r="E93" s="240">
        <f t="shared" si="7"/>
        <v>7.5350585157381571E-4</v>
      </c>
      <c r="F93" s="503">
        <v>0.21014919999999998</v>
      </c>
      <c r="G93" s="240">
        <f>(F93/Table223729[[#Totals],[Column6]])*100</f>
        <v>1.8689384635972484E-3</v>
      </c>
      <c r="H93" s="240">
        <f t="shared" si="8"/>
        <v>151.11883636238485</v>
      </c>
      <c r="I93" s="239">
        <f t="shared" si="9"/>
        <v>24.697755876882521</v>
      </c>
      <c r="K93" s="241"/>
      <c r="P93" s="4"/>
      <c r="Q93" s="4"/>
      <c r="R93" s="4"/>
      <c r="S93" s="4"/>
      <c r="T93" s="4"/>
    </row>
    <row r="94" spans="1:20" ht="14.5" x14ac:dyDescent="0.35">
      <c r="A94" s="529" t="s">
        <v>534</v>
      </c>
      <c r="B94" s="503">
        <v>251.12779698000003</v>
      </c>
      <c r="C94" s="240">
        <f t="shared" si="6"/>
        <v>1.9193475734545009</v>
      </c>
      <c r="D94" s="503">
        <v>8.4776946500000001</v>
      </c>
      <c r="E94" s="240">
        <f t="shared" si="7"/>
        <v>7.6333635815848705E-2</v>
      </c>
      <c r="F94" s="503">
        <v>0.16513951999999998</v>
      </c>
      <c r="G94" s="240">
        <f>(F94/Table223729[[#Totals],[Column6]])*100</f>
        <v>1.4686498963021849E-3</v>
      </c>
      <c r="H94" s="240">
        <f t="shared" si="8"/>
        <v>-98.052070441107475</v>
      </c>
      <c r="I94" s="239">
        <f t="shared" si="9"/>
        <v>-99.934240843910587</v>
      </c>
      <c r="K94" s="241"/>
      <c r="P94" s="4"/>
      <c r="Q94" s="4"/>
      <c r="R94" s="4"/>
      <c r="S94" s="4"/>
      <c r="T94" s="4"/>
    </row>
    <row r="95" spans="1:20" ht="14.5" x14ac:dyDescent="0.35">
      <c r="A95" s="529" t="s">
        <v>586</v>
      </c>
      <c r="B95" s="503">
        <v>2.3841049999999999E-2</v>
      </c>
      <c r="C95" s="240">
        <f t="shared" si="6"/>
        <v>1.8221503957903843E-4</v>
      </c>
      <c r="D95" s="503">
        <v>2.9661269999999997E-2</v>
      </c>
      <c r="E95" s="240">
        <f t="shared" si="7"/>
        <v>2.6707173064030549E-4</v>
      </c>
      <c r="F95" s="503">
        <v>0.16488582999999998</v>
      </c>
      <c r="G95" s="240">
        <f>(F95/Table223729[[#Totals],[Column6]])*100</f>
        <v>1.4663937325916877E-3</v>
      </c>
      <c r="H95" s="240">
        <f t="shared" si="8"/>
        <v>455.89605569822191</v>
      </c>
      <c r="I95" s="239">
        <f t="shared" si="9"/>
        <v>591.60473217412823</v>
      </c>
      <c r="K95" s="241"/>
      <c r="P95" s="4"/>
      <c r="Q95" s="4"/>
      <c r="R95" s="4"/>
      <c r="S95" s="4"/>
      <c r="T95" s="4"/>
    </row>
    <row r="96" spans="1:20" ht="14.5" x14ac:dyDescent="0.35">
      <c r="A96" s="529" t="s">
        <v>575</v>
      </c>
      <c r="B96" s="503">
        <v>2.0788260000000003E-2</v>
      </c>
      <c r="C96" s="240">
        <f t="shared" si="6"/>
        <v>1.5888283522241437E-4</v>
      </c>
      <c r="D96" s="503">
        <v>8.6837109999999995E-2</v>
      </c>
      <c r="E96" s="240">
        <f t="shared" si="7"/>
        <v>7.8188618530166038E-4</v>
      </c>
      <c r="F96" s="503">
        <v>0.15874824999999998</v>
      </c>
      <c r="G96" s="240">
        <f>(F96/Table223729[[#Totals],[Column6]])*100</f>
        <v>1.4118098496389796E-3</v>
      </c>
      <c r="H96" s="240">
        <f t="shared" si="8"/>
        <v>82.811530692350303</v>
      </c>
      <c r="I96" s="239">
        <f t="shared" si="9"/>
        <v>663.64375854448599</v>
      </c>
      <c r="K96" s="241"/>
      <c r="P96" s="4"/>
      <c r="Q96" s="4"/>
      <c r="R96" s="4"/>
      <c r="S96" s="4"/>
      <c r="T96" s="4"/>
    </row>
    <row r="97" spans="1:20" ht="14.5" x14ac:dyDescent="0.35">
      <c r="A97" s="529" t="s">
        <v>584</v>
      </c>
      <c r="B97" s="503"/>
      <c r="C97" s="240">
        <f t="shared" si="6"/>
        <v>0</v>
      </c>
      <c r="D97" s="503">
        <v>2.4789610000000004E-2</v>
      </c>
      <c r="E97" s="240">
        <f t="shared" si="7"/>
        <v>2.2320703208588929E-4</v>
      </c>
      <c r="F97" s="503">
        <v>0.12376924</v>
      </c>
      <c r="G97" s="240">
        <f>(F97/Table223729[[#Totals],[Column6]])*100</f>
        <v>1.1007279268548209E-3</v>
      </c>
      <c r="H97" s="240">
        <f t="shared" si="8"/>
        <v>399.27868974138755</v>
      </c>
      <c r="I97" s="239" t="s">
        <v>240</v>
      </c>
      <c r="K97" s="241"/>
      <c r="P97" s="4"/>
      <c r="Q97" s="4"/>
      <c r="R97" s="4"/>
      <c r="S97" s="4"/>
      <c r="T97" s="4"/>
    </row>
    <row r="98" spans="1:20" ht="14.5" x14ac:dyDescent="0.35">
      <c r="A98" s="529" t="s">
        <v>272</v>
      </c>
      <c r="B98" s="503">
        <v>1.1413245700000001</v>
      </c>
      <c r="C98" s="240">
        <f t="shared" si="6"/>
        <v>8.7230428901025354E-3</v>
      </c>
      <c r="D98" s="503">
        <v>0.18134137000000003</v>
      </c>
      <c r="E98" s="240">
        <f t="shared" si="7"/>
        <v>1.6328078171495685E-3</v>
      </c>
      <c r="F98" s="503">
        <v>0.11486779000000003</v>
      </c>
      <c r="G98" s="240">
        <f>(F98/Table223729[[#Totals],[Column6]])*100</f>
        <v>1.0215638744254627E-3</v>
      </c>
      <c r="H98" s="240">
        <f t="shared" si="8"/>
        <v>-36.656599649600082</v>
      </c>
      <c r="I98" s="239">
        <f t="shared" si="9"/>
        <v>-89.935571964423758</v>
      </c>
      <c r="K98" s="241"/>
      <c r="P98" s="4"/>
      <c r="Q98" s="4"/>
      <c r="R98" s="4"/>
      <c r="S98" s="4"/>
      <c r="T98" s="4"/>
    </row>
    <row r="99" spans="1:20" ht="14.5" x14ac:dyDescent="0.35">
      <c r="A99" s="529" t="s">
        <v>621</v>
      </c>
      <c r="B99" s="503">
        <v>4.4771999999999999E-2</v>
      </c>
      <c r="C99" s="240">
        <f t="shared" si="6"/>
        <v>3.4218844186949439E-4</v>
      </c>
      <c r="D99" s="503"/>
      <c r="E99" s="240">
        <f t="shared" si="7"/>
        <v>0</v>
      </c>
      <c r="F99" s="503">
        <v>0.11241627999999999</v>
      </c>
      <c r="G99" s="240">
        <f>(F99/Table223729[[#Totals],[Column6]])*100</f>
        <v>9.9976164375842531E-4</v>
      </c>
      <c r="H99" s="240" t="s">
        <v>240</v>
      </c>
      <c r="I99" s="239">
        <f t="shared" si="9"/>
        <v>151.08612525685695</v>
      </c>
      <c r="K99" s="241"/>
      <c r="P99" s="4"/>
      <c r="Q99" s="4"/>
      <c r="R99" s="4"/>
      <c r="S99" s="4"/>
      <c r="T99" s="4"/>
    </row>
    <row r="100" spans="1:20" ht="14.5" x14ac:dyDescent="0.35">
      <c r="A100" s="529" t="s">
        <v>628</v>
      </c>
      <c r="B100" s="503"/>
      <c r="C100" s="240">
        <f t="shared" ref="C100:C131" si="10">(B100/$B$183)*100</f>
        <v>0</v>
      </c>
      <c r="D100" s="503">
        <v>5.8936170000000003E-2</v>
      </c>
      <c r="E100" s="240">
        <f t="shared" ref="E100:E131" si="11">(D100/$D$183)*100</f>
        <v>5.3066456423515429E-4</v>
      </c>
      <c r="F100" s="503">
        <v>8.5813520000000004E-2</v>
      </c>
      <c r="G100" s="240">
        <f>(F100/Table223729[[#Totals],[Column6]])*100</f>
        <v>7.6317296580083005E-4</v>
      </c>
      <c r="H100" s="240">
        <f t="shared" si="8"/>
        <v>45.604168034672085</v>
      </c>
      <c r="I100" s="239" t="s">
        <v>240</v>
      </c>
      <c r="K100" s="241"/>
      <c r="P100" s="4"/>
      <c r="Q100" s="4"/>
      <c r="R100" s="4"/>
      <c r="S100" s="4"/>
      <c r="T100" s="4"/>
    </row>
    <row r="101" spans="1:20" ht="14.5" x14ac:dyDescent="0.35">
      <c r="A101" s="529" t="s">
        <v>282</v>
      </c>
      <c r="B101" s="503">
        <v>3.2942099999999995E-2</v>
      </c>
      <c r="C101" s="240">
        <f t="shared" si="10"/>
        <v>2.5177356095124336E-4</v>
      </c>
      <c r="D101" s="503">
        <v>8.2428020000000005E-2</v>
      </c>
      <c r="E101" s="240">
        <f t="shared" si="11"/>
        <v>7.4218649284584631E-4</v>
      </c>
      <c r="F101" s="503">
        <v>8.1512330000000022E-2</v>
      </c>
      <c r="G101" s="240">
        <f>(F101/Table223729[[#Totals],[Column6]])*100</f>
        <v>7.2492081242484842E-4</v>
      </c>
      <c r="H101" s="240">
        <f t="shared" si="8"/>
        <v>-1.1108965131031656</v>
      </c>
      <c r="I101" s="239">
        <f t="shared" si="9"/>
        <v>147.4412074518626</v>
      </c>
      <c r="K101" s="241"/>
      <c r="P101" s="4"/>
      <c r="Q101" s="4"/>
      <c r="R101" s="4"/>
      <c r="S101" s="4"/>
      <c r="T101" s="4"/>
    </row>
    <row r="102" spans="1:20" ht="14.5" x14ac:dyDescent="0.35">
      <c r="A102" s="529" t="s">
        <v>566</v>
      </c>
      <c r="B102" s="503">
        <v>6.5535100000000002E-3</v>
      </c>
      <c r="C102" s="240">
        <f t="shared" si="10"/>
        <v>5.0087898143396552E-5</v>
      </c>
      <c r="D102" s="503">
        <v>0.26274027</v>
      </c>
      <c r="E102" s="240">
        <f t="shared" si="11"/>
        <v>2.3657280560745089E-3</v>
      </c>
      <c r="F102" s="503">
        <v>8.1488209999999991E-2</v>
      </c>
      <c r="G102" s="240">
        <f>(F102/Table223729[[#Totals],[Column6]])*100</f>
        <v>7.2470630389594604E-4</v>
      </c>
      <c r="H102" s="240">
        <f t="shared" si="8"/>
        <v>-68.985260614979211</v>
      </c>
      <c r="I102" s="239">
        <f t="shared" si="9"/>
        <v>1143.4284833623506</v>
      </c>
      <c r="K102" s="241"/>
      <c r="P102" s="4"/>
      <c r="Q102" s="4"/>
      <c r="R102" s="4"/>
      <c r="S102" s="4"/>
      <c r="T102" s="4"/>
    </row>
    <row r="103" spans="1:20" ht="14.5" x14ac:dyDescent="0.35">
      <c r="A103" s="529" t="s">
        <v>593</v>
      </c>
      <c r="B103" s="503"/>
      <c r="C103" s="240">
        <f t="shared" si="10"/>
        <v>0</v>
      </c>
      <c r="D103" s="503">
        <v>4.3996799999999996E-3</v>
      </c>
      <c r="E103" s="240">
        <f t="shared" si="11"/>
        <v>3.961496429058969E-5</v>
      </c>
      <c r="F103" s="503">
        <v>8.1223890000000007E-2</v>
      </c>
      <c r="G103" s="240">
        <f>(F103/Table223729[[#Totals],[Column6]])*100</f>
        <v>7.2235560346645123E-4</v>
      </c>
      <c r="H103" s="240">
        <f t="shared" si="8"/>
        <v>1746.1317641283006</v>
      </c>
      <c r="I103" s="239" t="s">
        <v>240</v>
      </c>
      <c r="K103" s="241"/>
      <c r="P103" s="4"/>
      <c r="Q103" s="4"/>
      <c r="R103" s="4"/>
      <c r="S103" s="4"/>
      <c r="T103" s="4"/>
    </row>
    <row r="104" spans="1:20" ht="14.5" x14ac:dyDescent="0.35">
      <c r="A104" s="529" t="s">
        <v>558</v>
      </c>
      <c r="B104" s="503">
        <v>8.9929064000000007</v>
      </c>
      <c r="C104" s="240">
        <f t="shared" si="10"/>
        <v>6.8731989388327627E-2</v>
      </c>
      <c r="D104" s="503">
        <v>7.4002E-3</v>
      </c>
      <c r="E104" s="240">
        <f t="shared" si="11"/>
        <v>6.6631813846284695E-5</v>
      </c>
      <c r="F104" s="503">
        <v>7.8842860000000001E-2</v>
      </c>
      <c r="G104" s="240">
        <f>(F104/Table223729[[#Totals],[Column6]])*100</f>
        <v>7.0118017881587447E-4</v>
      </c>
      <c r="H104" s="240">
        <f t="shared" si="8"/>
        <v>965.4152590470527</v>
      </c>
      <c r="I104" s="239">
        <f t="shared" si="9"/>
        <v>-99.123277208800928</v>
      </c>
      <c r="K104" s="241"/>
      <c r="P104" s="4"/>
      <c r="Q104" s="4"/>
      <c r="R104" s="4"/>
      <c r="S104" s="4"/>
      <c r="T104" s="4"/>
    </row>
    <row r="105" spans="1:20" ht="14.5" x14ac:dyDescent="0.35">
      <c r="A105" s="529" t="s">
        <v>287</v>
      </c>
      <c r="B105" s="503">
        <v>6.1015819999999998E-2</v>
      </c>
      <c r="C105" s="240">
        <f t="shared" si="10"/>
        <v>4.66338523523397E-4</v>
      </c>
      <c r="D105" s="503">
        <v>0.10673307999999999</v>
      </c>
      <c r="E105" s="240">
        <f t="shared" si="11"/>
        <v>9.6103060968630728E-4</v>
      </c>
      <c r="F105" s="503">
        <v>7.5458280000000003E-2</v>
      </c>
      <c r="G105" s="240">
        <f>(F105/Table223729[[#Totals],[Column6]])*100</f>
        <v>6.7107979420759638E-4</v>
      </c>
      <c r="H105" s="240">
        <f t="shared" si="8"/>
        <v>-29.301880916394417</v>
      </c>
      <c r="I105" s="239">
        <f t="shared" si="9"/>
        <v>23.670025249189486</v>
      </c>
      <c r="K105" s="241"/>
      <c r="P105" s="4"/>
      <c r="Q105" s="4"/>
      <c r="R105" s="4"/>
      <c r="S105" s="4"/>
      <c r="T105" s="4"/>
    </row>
    <row r="106" spans="1:20" ht="14.5" x14ac:dyDescent="0.35">
      <c r="A106" s="529" t="s">
        <v>270</v>
      </c>
      <c r="B106" s="503">
        <v>4.6056699999999992E-3</v>
      </c>
      <c r="C106" s="240">
        <f t="shared" si="10"/>
        <v>3.520072905085933E-5</v>
      </c>
      <c r="D106" s="503">
        <v>0.15695919</v>
      </c>
      <c r="E106" s="240">
        <f t="shared" si="11"/>
        <v>1.4132693075246114E-3</v>
      </c>
      <c r="F106" s="503">
        <v>6.9251240000000006E-2</v>
      </c>
      <c r="G106" s="240">
        <f>(F106/Table223729[[#Totals],[Column6]])*100</f>
        <v>6.1587817649462538E-4</v>
      </c>
      <c r="H106" s="240">
        <f t="shared" si="8"/>
        <v>-55.879461406496802</v>
      </c>
      <c r="I106" s="239">
        <f t="shared" si="9"/>
        <v>1403.6083783684028</v>
      </c>
      <c r="K106" s="241"/>
      <c r="P106" s="4"/>
      <c r="Q106" s="4"/>
      <c r="R106" s="4"/>
      <c r="S106" s="4"/>
      <c r="T106" s="4"/>
    </row>
    <row r="107" spans="1:20" ht="14.5" x14ac:dyDescent="0.35">
      <c r="A107" s="529" t="s">
        <v>525</v>
      </c>
      <c r="B107" s="503">
        <v>2.1274899999999999E-2</v>
      </c>
      <c r="C107" s="240">
        <f t="shared" si="10"/>
        <v>1.6260218176381011E-4</v>
      </c>
      <c r="D107" s="503">
        <v>3.5121270000000003E-2</v>
      </c>
      <c r="E107" s="240">
        <f t="shared" si="11"/>
        <v>3.1623387539324663E-4</v>
      </c>
      <c r="F107" s="503">
        <v>6.0341589999999994E-2</v>
      </c>
      <c r="G107" s="240">
        <f>(F107/Table223729[[#Totals],[Column6]])*100</f>
        <v>5.366411982801509E-4</v>
      </c>
      <c r="H107" s="240">
        <f t="shared" si="8"/>
        <v>71.809248355768432</v>
      </c>
      <c r="I107" s="239">
        <f t="shared" si="9"/>
        <v>183.62807815782918</v>
      </c>
      <c r="K107" s="241"/>
      <c r="P107" s="4"/>
      <c r="Q107" s="4"/>
      <c r="R107" s="4"/>
      <c r="S107" s="4"/>
      <c r="T107" s="4"/>
    </row>
    <row r="108" spans="1:20" ht="14.5" x14ac:dyDescent="0.35">
      <c r="A108" s="529" t="s">
        <v>577</v>
      </c>
      <c r="B108" s="503">
        <v>6.1355000000000003E-3</v>
      </c>
      <c r="C108" s="240">
        <f t="shared" si="10"/>
        <v>4.6893084630802352E-5</v>
      </c>
      <c r="D108" s="503">
        <v>1.759792E-2</v>
      </c>
      <c r="E108" s="240">
        <f t="shared" si="11"/>
        <v>1.5845265391770631E-4</v>
      </c>
      <c r="F108" s="503">
        <v>4.0409380000000002E-2</v>
      </c>
      <c r="G108" s="240">
        <f>(F108/Table223729[[#Totals],[Column6]])*100</f>
        <v>3.5937631250614987E-4</v>
      </c>
      <c r="H108" s="240">
        <f t="shared" si="8"/>
        <v>129.62588760489879</v>
      </c>
      <c r="I108" s="239">
        <f t="shared" si="9"/>
        <v>558.61592372259793</v>
      </c>
      <c r="K108" s="241"/>
      <c r="P108" s="4"/>
      <c r="Q108" s="4"/>
      <c r="R108" s="4"/>
      <c r="S108" s="4"/>
      <c r="T108" s="4"/>
    </row>
    <row r="109" spans="1:20" ht="14.5" x14ac:dyDescent="0.35">
      <c r="A109" s="529" t="s">
        <v>573</v>
      </c>
      <c r="B109" s="503">
        <v>1195.17277958</v>
      </c>
      <c r="C109" s="240">
        <f t="shared" si="10"/>
        <v>9.134600000208005</v>
      </c>
      <c r="D109" s="503">
        <v>3.3651930000000004E-2</v>
      </c>
      <c r="E109" s="240">
        <f t="shared" si="11"/>
        <v>3.0300385602121614E-4</v>
      </c>
      <c r="F109" s="503">
        <v>4.0014930000000004E-2</v>
      </c>
      <c r="G109" s="240">
        <f>(F109/Table223729[[#Totals],[Column6]])*100</f>
        <v>3.5586831544041789E-4</v>
      </c>
      <c r="H109" s="240">
        <f t="shared" si="8"/>
        <v>18.908276583245009</v>
      </c>
      <c r="I109" s="239">
        <f t="shared" si="9"/>
        <v>-99.996651954371472</v>
      </c>
      <c r="K109" s="241"/>
      <c r="P109" s="4"/>
      <c r="Q109" s="4"/>
      <c r="R109" s="4"/>
      <c r="S109" s="4"/>
      <c r="T109" s="4"/>
    </row>
    <row r="110" spans="1:20" ht="14.5" x14ac:dyDescent="0.35">
      <c r="A110" s="529" t="s">
        <v>578</v>
      </c>
      <c r="B110" s="503">
        <v>2.3751790000000002E-2</v>
      </c>
      <c r="C110" s="240">
        <f t="shared" si="10"/>
        <v>1.8153283328221743E-4</v>
      </c>
      <c r="D110" s="503">
        <v>0.13681894999999999</v>
      </c>
      <c r="E110" s="240">
        <f t="shared" si="11"/>
        <v>1.2319254624258982E-3</v>
      </c>
      <c r="F110" s="503">
        <v>3.6274460000000001E-2</v>
      </c>
      <c r="G110" s="240">
        <f>(F110/Table223729[[#Totals],[Column6]])*100</f>
        <v>3.2260286282422137E-4</v>
      </c>
      <c r="H110" s="240">
        <f t="shared" si="8"/>
        <v>-73.48725450677702</v>
      </c>
      <c r="I110" s="239">
        <f t="shared" si="9"/>
        <v>52.723057925318464</v>
      </c>
      <c r="K110" s="241"/>
      <c r="P110" s="4"/>
      <c r="Q110" s="4"/>
      <c r="R110" s="4"/>
      <c r="S110" s="4"/>
      <c r="T110" s="4"/>
    </row>
    <row r="111" spans="1:20" ht="14.5" x14ac:dyDescent="0.35">
      <c r="A111" s="529" t="s">
        <v>568</v>
      </c>
      <c r="B111" s="503">
        <v>3.8344930000000006E-2</v>
      </c>
      <c r="C111" s="240">
        <f t="shared" si="10"/>
        <v>2.9306691347929137E-4</v>
      </c>
      <c r="D111" s="503">
        <v>0.23521680999999997</v>
      </c>
      <c r="E111" s="240">
        <f t="shared" si="11"/>
        <v>2.1179052859972586E-3</v>
      </c>
      <c r="F111" s="503">
        <v>3.5859040000000002E-2</v>
      </c>
      <c r="G111" s="240">
        <f>(F111/Table223729[[#Totals],[Column6]])*100</f>
        <v>3.1890837140313781E-4</v>
      </c>
      <c r="H111" s="240">
        <f t="shared" si="8"/>
        <v>-84.754899107763592</v>
      </c>
      <c r="I111" s="239">
        <f t="shared" si="9"/>
        <v>-6.4829691956668212</v>
      </c>
      <c r="K111" s="241"/>
      <c r="P111" s="4"/>
      <c r="Q111" s="4"/>
      <c r="R111" s="4"/>
      <c r="S111" s="4"/>
      <c r="T111" s="4"/>
    </row>
    <row r="112" spans="1:20" ht="14.5" x14ac:dyDescent="0.35">
      <c r="A112" s="529" t="s">
        <v>668</v>
      </c>
      <c r="B112" s="503">
        <v>4.3228860000000001E-2</v>
      </c>
      <c r="C112" s="240">
        <f t="shared" si="10"/>
        <v>3.3039435913505115E-4</v>
      </c>
      <c r="D112" s="503"/>
      <c r="E112" s="240">
        <f t="shared" si="11"/>
        <v>0</v>
      </c>
      <c r="F112" s="503">
        <v>3.5540000000000002E-2</v>
      </c>
      <c r="G112" s="240">
        <f>(F112/Table223729[[#Totals],[Column6]])*100</f>
        <v>3.1607102475882001E-4</v>
      </c>
      <c r="H112" s="240" t="s">
        <v>240</v>
      </c>
      <c r="I112" s="239">
        <f t="shared" si="9"/>
        <v>-17.786404730543438</v>
      </c>
      <c r="K112" s="241"/>
      <c r="P112" s="4"/>
      <c r="Q112" s="4"/>
      <c r="R112" s="4"/>
      <c r="S112" s="4"/>
      <c r="T112" s="4"/>
    </row>
    <row r="113" spans="1:20" ht="14.5" x14ac:dyDescent="0.35">
      <c r="A113" s="529" t="s">
        <v>588</v>
      </c>
      <c r="B113" s="503"/>
      <c r="C113" s="240">
        <f t="shared" si="10"/>
        <v>0</v>
      </c>
      <c r="D113" s="503">
        <v>7.938E-4</v>
      </c>
      <c r="E113" s="240">
        <f t="shared" si="11"/>
        <v>7.1474195063891233E-6</v>
      </c>
      <c r="F113" s="503">
        <v>3.2795980000000002E-2</v>
      </c>
      <c r="G113" s="240">
        <f>(F113/Table223729[[#Totals],[Column6]])*100</f>
        <v>2.9166738904248075E-4</v>
      </c>
      <c r="H113" s="240">
        <f t="shared" si="8"/>
        <v>4031.516754850089</v>
      </c>
      <c r="I113" s="239" t="s">
        <v>240</v>
      </c>
      <c r="K113" s="241"/>
      <c r="P113" s="4"/>
      <c r="Q113" s="4"/>
      <c r="R113" s="4"/>
      <c r="S113" s="4"/>
      <c r="T113" s="4"/>
    </row>
    <row r="114" spans="1:20" ht="14.5" x14ac:dyDescent="0.35">
      <c r="A114" s="529" t="s">
        <v>653</v>
      </c>
      <c r="B114" s="503"/>
      <c r="C114" s="240">
        <f t="shared" si="10"/>
        <v>0</v>
      </c>
      <c r="D114" s="503"/>
      <c r="E114" s="240">
        <f t="shared" si="11"/>
        <v>0</v>
      </c>
      <c r="F114" s="503">
        <v>2.9834370000000002E-2</v>
      </c>
      <c r="G114" s="240">
        <f>(F114/Table223729[[#Totals],[Column6]])*100</f>
        <v>2.653286409379234E-4</v>
      </c>
      <c r="H114" s="240" t="s">
        <v>240</v>
      </c>
      <c r="I114" s="239" t="s">
        <v>240</v>
      </c>
      <c r="K114" s="241"/>
      <c r="P114" s="4"/>
      <c r="Q114" s="4"/>
      <c r="R114" s="4"/>
      <c r="S114" s="4"/>
      <c r="T114" s="4"/>
    </row>
    <row r="115" spans="1:20" ht="14.5" x14ac:dyDescent="0.35">
      <c r="A115" s="529" t="s">
        <v>564</v>
      </c>
      <c r="B115" s="503">
        <v>0.20895105999999999</v>
      </c>
      <c r="C115" s="240">
        <f t="shared" si="10"/>
        <v>1.5969944976409192E-3</v>
      </c>
      <c r="D115" s="503">
        <v>0.22324538999999999</v>
      </c>
      <c r="E115" s="240">
        <f t="shared" si="11"/>
        <v>2.0101139521257836E-3</v>
      </c>
      <c r="F115" s="503">
        <v>2.8530990000000003E-2</v>
      </c>
      <c r="G115" s="240">
        <f>(F115/Table223729[[#Totals],[Column6]])*100</f>
        <v>2.5373717632762088E-4</v>
      </c>
      <c r="H115" s="240">
        <f t="shared" si="8"/>
        <v>-87.219897351519776</v>
      </c>
      <c r="I115" s="239">
        <f t="shared" si="9"/>
        <v>-86.345611264187895</v>
      </c>
      <c r="K115" s="241"/>
      <c r="P115" s="4"/>
      <c r="Q115" s="4"/>
      <c r="R115" s="4"/>
      <c r="S115" s="4"/>
      <c r="T115" s="4"/>
    </row>
    <row r="116" spans="1:20" ht="14.5" x14ac:dyDescent="0.35">
      <c r="A116" s="529" t="s">
        <v>633</v>
      </c>
      <c r="B116" s="503">
        <v>2.3764899999999998E-3</v>
      </c>
      <c r="C116" s="240">
        <f t="shared" si="10"/>
        <v>1.8163303185438098E-5</v>
      </c>
      <c r="D116" s="503"/>
      <c r="E116" s="240">
        <f t="shared" si="11"/>
        <v>0</v>
      </c>
      <c r="F116" s="503">
        <v>2.8051E-2</v>
      </c>
      <c r="G116" s="240">
        <f>(F116/Table223729[[#Totals],[Column6]])*100</f>
        <v>2.4946843881569106E-4</v>
      </c>
      <c r="H116" s="240" t="s">
        <v>240</v>
      </c>
      <c r="I116" s="239">
        <f t="shared" si="9"/>
        <v>1080.3542198788971</v>
      </c>
      <c r="K116" s="241"/>
      <c r="P116" s="4"/>
      <c r="Q116" s="4"/>
      <c r="R116" s="4"/>
      <c r="S116" s="4"/>
      <c r="T116" s="4"/>
    </row>
    <row r="117" spans="1:20" ht="14.5" x14ac:dyDescent="0.35">
      <c r="A117" s="529" t="s">
        <v>279</v>
      </c>
      <c r="B117" s="503">
        <v>3.5437399999999997E-3</v>
      </c>
      <c r="C117" s="240">
        <f t="shared" si="10"/>
        <v>2.70844918473734E-5</v>
      </c>
      <c r="D117" s="503">
        <v>1.2546900000000001E-3</v>
      </c>
      <c r="E117" s="240">
        <f t="shared" si="11"/>
        <v>1.1297298791221176E-5</v>
      </c>
      <c r="F117" s="503">
        <v>2.7873440000000003E-2</v>
      </c>
      <c r="G117" s="240">
        <f>(F117/Table223729[[#Totals],[Column6]])*100</f>
        <v>2.47889328766277E-4</v>
      </c>
      <c r="H117" s="240">
        <f t="shared" si="8"/>
        <v>2121.5399819875825</v>
      </c>
      <c r="I117" s="239">
        <f t="shared" si="9"/>
        <v>686.55431831906424</v>
      </c>
      <c r="K117" s="241"/>
      <c r="P117" s="4"/>
      <c r="Q117" s="4"/>
      <c r="R117" s="4"/>
      <c r="S117" s="4"/>
      <c r="T117" s="4"/>
    </row>
    <row r="118" spans="1:20" ht="14.5" x14ac:dyDescent="0.35">
      <c r="A118" s="529" t="s">
        <v>630</v>
      </c>
      <c r="B118" s="503">
        <v>4.559672E-2</v>
      </c>
      <c r="C118" s="240">
        <f t="shared" si="10"/>
        <v>3.484917039926653E-4</v>
      </c>
      <c r="D118" s="503"/>
      <c r="E118" s="240">
        <f t="shared" si="11"/>
        <v>0</v>
      </c>
      <c r="F118" s="503">
        <v>2.710595E-2</v>
      </c>
      <c r="G118" s="240">
        <f>(F118/Table223729[[#Totals],[Column6]])*100</f>
        <v>2.410637420810731E-4</v>
      </c>
      <c r="H118" s="240" t="s">
        <v>240</v>
      </c>
      <c r="I118" s="239">
        <f t="shared" si="9"/>
        <v>-40.552851169996437</v>
      </c>
      <c r="K118" s="241"/>
      <c r="P118" s="4"/>
      <c r="Q118" s="4"/>
      <c r="R118" s="4"/>
      <c r="S118" s="4"/>
      <c r="T118" s="4"/>
    </row>
    <row r="119" spans="1:20" ht="14.5" x14ac:dyDescent="0.35">
      <c r="A119" s="529" t="s">
        <v>269</v>
      </c>
      <c r="B119" s="503">
        <v>3.0735480000000003E-2</v>
      </c>
      <c r="C119" s="240">
        <f t="shared" si="10"/>
        <v>2.3490855917338978E-4</v>
      </c>
      <c r="D119" s="503">
        <v>1.6645880000000005E-2</v>
      </c>
      <c r="E119" s="240">
        <f t="shared" si="11"/>
        <v>1.4988043261906351E-4</v>
      </c>
      <c r="F119" s="503">
        <v>2.50487E-2</v>
      </c>
      <c r="G119" s="240">
        <f>(F119/Table223729[[#Totals],[Column6]])*100</f>
        <v>2.2276781873596663E-4</v>
      </c>
      <c r="H119" s="240">
        <f t="shared" si="8"/>
        <v>50.479878504470733</v>
      </c>
      <c r="I119" s="239">
        <f t="shared" si="9"/>
        <v>-18.50233020600297</v>
      </c>
      <c r="K119" s="241"/>
      <c r="P119" s="4"/>
      <c r="Q119" s="4"/>
      <c r="R119" s="4"/>
      <c r="S119" s="4"/>
      <c r="T119" s="4"/>
    </row>
    <row r="120" spans="1:20" ht="14.5" x14ac:dyDescent="0.35">
      <c r="A120" s="529" t="s">
        <v>562</v>
      </c>
      <c r="B120" s="503">
        <v>6.3038169999999991E-2</v>
      </c>
      <c r="C120" s="240">
        <f t="shared" si="10"/>
        <v>4.8179516596543153E-4</v>
      </c>
      <c r="D120" s="503">
        <v>0.11829663</v>
      </c>
      <c r="E120" s="240">
        <f t="shared" si="11"/>
        <v>1.0651494593122912E-3</v>
      </c>
      <c r="F120" s="503">
        <v>2.4907939999999996E-2</v>
      </c>
      <c r="G120" s="240">
        <f>(F120/Table223729[[#Totals],[Column6]])*100</f>
        <v>2.2151598538073164E-4</v>
      </c>
      <c r="H120" s="240">
        <f t="shared" si="8"/>
        <v>-78.944505857859184</v>
      </c>
      <c r="I120" s="239">
        <f t="shared" si="9"/>
        <v>-60.487526842863616</v>
      </c>
      <c r="K120" s="241"/>
      <c r="P120" s="4"/>
      <c r="Q120" s="4"/>
      <c r="R120" s="4"/>
      <c r="S120" s="4"/>
      <c r="T120" s="4"/>
    </row>
    <row r="121" spans="1:20" ht="14.5" x14ac:dyDescent="0.35">
      <c r="A121" s="529" t="s">
        <v>315</v>
      </c>
      <c r="B121" s="503">
        <v>12.999171789999998</v>
      </c>
      <c r="C121" s="240">
        <f t="shared" si="10"/>
        <v>9.9351521942597734E-2</v>
      </c>
      <c r="D121" s="503"/>
      <c r="E121" s="240">
        <f t="shared" si="11"/>
        <v>0</v>
      </c>
      <c r="F121" s="503">
        <v>2.4851979999999996E-2</v>
      </c>
      <c r="G121" s="240">
        <f>(F121/Table223729[[#Totals],[Column6]])*100</f>
        <v>2.2101831136425712E-4</v>
      </c>
      <c r="H121" s="240" t="s">
        <v>240</v>
      </c>
      <c r="I121" s="239">
        <f t="shared" si="9"/>
        <v>-99.80881874321318</v>
      </c>
      <c r="K121" s="241"/>
      <c r="P121" s="4"/>
      <c r="Q121" s="4"/>
      <c r="R121" s="4"/>
      <c r="S121" s="4"/>
      <c r="T121" s="4"/>
    </row>
    <row r="122" spans="1:20" ht="14.5" x14ac:dyDescent="0.35">
      <c r="A122" s="529" t="s">
        <v>585</v>
      </c>
      <c r="B122" s="503">
        <v>2.0090999999999998E-2</v>
      </c>
      <c r="C122" s="240">
        <f t="shared" si="10"/>
        <v>1.535537386223535E-4</v>
      </c>
      <c r="D122" s="503">
        <v>1.7772119999999999E-2</v>
      </c>
      <c r="E122" s="240">
        <f t="shared" si="11"/>
        <v>1.6002116044077635E-4</v>
      </c>
      <c r="F122" s="503">
        <v>2.4329529999999999E-2</v>
      </c>
      <c r="G122" s="240">
        <f>(F122/Table223729[[#Totals],[Column6]])*100</f>
        <v>2.1637196057964133E-4</v>
      </c>
      <c r="H122" s="240">
        <f t="shared" si="8"/>
        <v>36.897173775554059</v>
      </c>
      <c r="I122" s="239">
        <f t="shared" si="9"/>
        <v>21.09666019610772</v>
      </c>
      <c r="K122" s="241"/>
      <c r="P122" s="4"/>
      <c r="Q122" s="4"/>
      <c r="R122" s="4"/>
      <c r="S122" s="4"/>
      <c r="T122" s="4"/>
    </row>
    <row r="123" spans="1:20" ht="14.5" x14ac:dyDescent="0.35">
      <c r="A123" s="529" t="s">
        <v>680</v>
      </c>
      <c r="B123" s="503"/>
      <c r="C123" s="240">
        <f t="shared" si="10"/>
        <v>0</v>
      </c>
      <c r="D123" s="503"/>
      <c r="E123" s="240">
        <f t="shared" si="11"/>
        <v>0</v>
      </c>
      <c r="F123" s="503">
        <v>2.2783580000000001E-2</v>
      </c>
      <c r="G123" s="240">
        <f>(F123/Table223729[[#Totals],[Column6]])*100</f>
        <v>2.0262322673816985E-4</v>
      </c>
      <c r="H123" s="240" t="s">
        <v>240</v>
      </c>
      <c r="I123" s="239" t="s">
        <v>240</v>
      </c>
      <c r="K123" s="241"/>
      <c r="P123" s="4"/>
      <c r="Q123" s="4"/>
      <c r="R123" s="4"/>
      <c r="S123" s="4"/>
      <c r="T123" s="4"/>
    </row>
    <row r="124" spans="1:20" ht="14.5" x14ac:dyDescent="0.35">
      <c r="A124" s="529" t="s">
        <v>636</v>
      </c>
      <c r="B124" s="503">
        <v>7.7459000000000002E-4</v>
      </c>
      <c r="C124" s="240">
        <f t="shared" si="10"/>
        <v>5.920122960504147E-6</v>
      </c>
      <c r="D124" s="503">
        <v>0.10485100000000001</v>
      </c>
      <c r="E124" s="240">
        <f t="shared" si="11"/>
        <v>9.4408425631696405E-4</v>
      </c>
      <c r="F124" s="503">
        <v>1.761213E-2</v>
      </c>
      <c r="G124" s="240">
        <f>(F124/Table223729[[#Totals],[Column6]])*100</f>
        <v>1.5663151314815861E-4</v>
      </c>
      <c r="H124" s="240">
        <f t="shared" si="8"/>
        <v>-83.202706698076327</v>
      </c>
      <c r="I124" s="239">
        <f t="shared" si="9"/>
        <v>2173.7357828012241</v>
      </c>
      <c r="K124" s="241"/>
      <c r="P124" s="4"/>
      <c r="Q124" s="4"/>
      <c r="R124" s="4"/>
      <c r="S124" s="4"/>
      <c r="T124" s="4"/>
    </row>
    <row r="125" spans="1:20" ht="14.5" x14ac:dyDescent="0.35">
      <c r="A125" s="529" t="s">
        <v>587</v>
      </c>
      <c r="B125" s="503">
        <v>2.8654499999999999E-3</v>
      </c>
      <c r="C125" s="240">
        <f t="shared" si="10"/>
        <v>2.1900381281938321E-5</v>
      </c>
      <c r="D125" s="503"/>
      <c r="E125" s="240">
        <f t="shared" si="11"/>
        <v>0</v>
      </c>
      <c r="F125" s="503">
        <v>1.4110950000000001E-2</v>
      </c>
      <c r="G125" s="240">
        <f>(F125/Table223729[[#Totals],[Column6]])*100</f>
        <v>1.2549415944908472E-4</v>
      </c>
      <c r="H125" s="240" t="s">
        <v>240</v>
      </c>
      <c r="I125" s="239">
        <f t="shared" si="9"/>
        <v>392.45144741663614</v>
      </c>
      <c r="K125" s="241"/>
      <c r="P125" s="4"/>
      <c r="Q125" s="4"/>
      <c r="R125" s="4"/>
      <c r="S125" s="4"/>
      <c r="T125" s="4"/>
    </row>
    <row r="126" spans="1:20" ht="14.5" x14ac:dyDescent="0.35">
      <c r="A126" s="529" t="s">
        <v>278</v>
      </c>
      <c r="B126" s="503">
        <v>6.8773699999999998E-3</v>
      </c>
      <c r="C126" s="240">
        <f t="shared" si="10"/>
        <v>5.2563131521040035E-5</v>
      </c>
      <c r="D126" s="503">
        <v>0.10162122</v>
      </c>
      <c r="E126" s="240">
        <f t="shared" si="11"/>
        <v>9.150031369249943E-4</v>
      </c>
      <c r="F126" s="503">
        <v>1.3751470000000002E-2</v>
      </c>
      <c r="G126" s="240">
        <f>(F126/Table223729[[#Totals],[Column6]])*100</f>
        <v>1.2229716417670711E-4</v>
      </c>
      <c r="H126" s="240">
        <f t="shared" si="8"/>
        <v>-86.467914870535893</v>
      </c>
      <c r="I126" s="239">
        <f t="shared" si="9"/>
        <v>99.952452754468666</v>
      </c>
      <c r="K126" s="241"/>
      <c r="P126" s="4"/>
      <c r="Q126" s="4"/>
      <c r="R126" s="4"/>
      <c r="S126" s="4"/>
      <c r="T126" s="4"/>
    </row>
    <row r="127" spans="1:20" ht="14.5" x14ac:dyDescent="0.35">
      <c r="A127" s="529" t="s">
        <v>609</v>
      </c>
      <c r="B127" s="503">
        <v>1.9371340000000001E-2</v>
      </c>
      <c r="C127" s="240">
        <f t="shared" si="10"/>
        <v>1.4805344080059439E-4</v>
      </c>
      <c r="D127" s="503">
        <v>1.4990793399999998</v>
      </c>
      <c r="E127" s="240">
        <f t="shared" si="11"/>
        <v>1.3497794049308304E-2</v>
      </c>
      <c r="F127" s="503">
        <v>1.107619E-2</v>
      </c>
      <c r="G127" s="240">
        <f>(F127/Table223729[[#Totals],[Column6]])*100</f>
        <v>9.8504859980962125E-5</v>
      </c>
      <c r="H127" s="240">
        <f t="shared" si="8"/>
        <v>-99.261133836985564</v>
      </c>
      <c r="I127" s="239">
        <f t="shared" si="9"/>
        <v>-42.821766589198276</v>
      </c>
      <c r="K127" s="241"/>
      <c r="P127" s="4"/>
      <c r="Q127" s="4"/>
      <c r="R127" s="4"/>
      <c r="S127" s="4"/>
      <c r="T127" s="4"/>
    </row>
    <row r="128" spans="1:20" s="3" customFormat="1" ht="14.5" x14ac:dyDescent="0.35">
      <c r="A128" s="529" t="s">
        <v>580</v>
      </c>
      <c r="B128" s="503">
        <v>0.13647759999999998</v>
      </c>
      <c r="C128" s="240">
        <f t="shared" si="10"/>
        <v>1.0430862435023697E-3</v>
      </c>
      <c r="D128" s="503">
        <v>0.12756278999999998</v>
      </c>
      <c r="E128" s="240">
        <f t="shared" si="11"/>
        <v>1.1485824811481725E-3</v>
      </c>
      <c r="F128" s="503">
        <v>1.0719020000000001E-2</v>
      </c>
      <c r="G128" s="240">
        <f>(F128/Table223729[[#Totals],[Column6]])*100</f>
        <v>9.5328408435855008E-5</v>
      </c>
      <c r="H128" s="240">
        <f t="shared" si="8"/>
        <v>-91.597063689183969</v>
      </c>
      <c r="I128" s="239">
        <f t="shared" si="9"/>
        <v>-92.145949225367389</v>
      </c>
      <c r="K128" s="241"/>
      <c r="P128" s="4"/>
      <c r="Q128" s="4"/>
      <c r="R128" s="4"/>
      <c r="S128" s="4"/>
      <c r="T128" s="4"/>
    </row>
    <row r="129" spans="1:20" ht="14.5" x14ac:dyDescent="0.35">
      <c r="A129" s="529" t="s">
        <v>583</v>
      </c>
      <c r="B129" s="503">
        <v>2.858169E-2</v>
      </c>
      <c r="C129" s="240">
        <f t="shared" si="10"/>
        <v>2.184473324197469E-4</v>
      </c>
      <c r="D129" s="503">
        <v>5.1434169999999994E-2</v>
      </c>
      <c r="E129" s="240">
        <f t="shared" si="11"/>
        <v>4.6311613750684582E-4</v>
      </c>
      <c r="F129" s="503">
        <v>7.5266200000000004E-3</v>
      </c>
      <c r="G129" s="240">
        <f>(F129/Table223729[[#Totals],[Column6]])*100</f>
        <v>6.6937155215819635E-5</v>
      </c>
      <c r="H129" s="240">
        <f t="shared" si="8"/>
        <v>-85.366498574780152</v>
      </c>
      <c r="I129" s="239">
        <f t="shared" si="9"/>
        <v>-73.66628775275359</v>
      </c>
      <c r="K129" s="242"/>
      <c r="P129" s="4"/>
      <c r="Q129" s="4"/>
      <c r="R129" s="4"/>
      <c r="S129" s="4"/>
      <c r="T129" s="4"/>
    </row>
    <row r="130" spans="1:20" ht="14.5" x14ac:dyDescent="0.35">
      <c r="A130" s="529" t="s">
        <v>594</v>
      </c>
      <c r="B130" s="503">
        <v>3.5579970000000002E-2</v>
      </c>
      <c r="C130" s="240">
        <f t="shared" si="10"/>
        <v>2.7193456839237368E-4</v>
      </c>
      <c r="D130" s="503">
        <v>4.5088899999999998E-3</v>
      </c>
      <c r="E130" s="240">
        <f t="shared" si="11"/>
        <v>4.0598297226206666E-5</v>
      </c>
      <c r="F130" s="503">
        <v>7.4411399999999997E-3</v>
      </c>
      <c r="G130" s="240">
        <f>(F130/Table223729[[#Totals],[Column6]])*100</f>
        <v>6.6176948372927564E-5</v>
      </c>
      <c r="H130" s="240">
        <f t="shared" si="8"/>
        <v>65.032635526703913</v>
      </c>
      <c r="I130" s="239">
        <f t="shared" si="9"/>
        <v>-79.08615437281145</v>
      </c>
      <c r="K130" s="241"/>
      <c r="P130" s="4"/>
      <c r="Q130" s="4"/>
      <c r="R130" s="4"/>
      <c r="S130" s="4"/>
      <c r="T130" s="4"/>
    </row>
    <row r="131" spans="1:20" ht="14.5" x14ac:dyDescent="0.35">
      <c r="A131" s="529" t="s">
        <v>678</v>
      </c>
      <c r="B131" s="503"/>
      <c r="C131" s="240">
        <f t="shared" si="10"/>
        <v>0</v>
      </c>
      <c r="D131" s="503"/>
      <c r="E131" s="240">
        <f t="shared" si="11"/>
        <v>0</v>
      </c>
      <c r="F131" s="503">
        <v>6.4091599999999997E-3</v>
      </c>
      <c r="G131" s="240">
        <f>(F131/Table223729[[#Totals],[Column6]])*100</f>
        <v>5.6999149382195803E-5</v>
      </c>
      <c r="H131" s="240" t="s">
        <v>240</v>
      </c>
      <c r="I131" s="239" t="s">
        <v>240</v>
      </c>
      <c r="K131" s="241"/>
      <c r="P131" s="4"/>
      <c r="Q131" s="4"/>
      <c r="R131" s="4"/>
      <c r="S131" s="4"/>
      <c r="T131" s="4"/>
    </row>
    <row r="132" spans="1:20" ht="14.5" x14ac:dyDescent="0.35">
      <c r="A132" s="529" t="s">
        <v>332</v>
      </c>
      <c r="B132" s="503"/>
      <c r="C132" s="240">
        <f t="shared" ref="C132:C163" si="12">(B132/$B$183)*100</f>
        <v>0</v>
      </c>
      <c r="D132" s="503"/>
      <c r="E132" s="240">
        <f t="shared" ref="E132:E163" si="13">(D132/$D$183)*100</f>
        <v>0</v>
      </c>
      <c r="F132" s="503">
        <v>5.855E-3</v>
      </c>
      <c r="G132" s="240">
        <f>(F132/Table223729[[#Totals],[Column6]])*100</f>
        <v>5.2070789250503407E-5</v>
      </c>
      <c r="H132" s="240" t="s">
        <v>240</v>
      </c>
      <c r="I132" s="239" t="s">
        <v>240</v>
      </c>
      <c r="K132" s="241"/>
      <c r="P132" s="4"/>
      <c r="Q132" s="4"/>
      <c r="R132" s="4"/>
      <c r="S132" s="4"/>
      <c r="T132" s="4"/>
    </row>
    <row r="133" spans="1:20" ht="14.5" x14ac:dyDescent="0.35">
      <c r="A133" s="529" t="s">
        <v>581</v>
      </c>
      <c r="B133" s="503">
        <v>1.16142E-3</v>
      </c>
      <c r="C133" s="240">
        <f t="shared" si="12"/>
        <v>8.8766304868236444E-6</v>
      </c>
      <c r="D133" s="503">
        <v>1.7540050000000001E-2</v>
      </c>
      <c r="E133" s="240">
        <f t="shared" si="13"/>
        <v>1.5793158920766005E-4</v>
      </c>
      <c r="F133" s="503">
        <v>5.1163500000000004E-3</v>
      </c>
      <c r="G133" s="240">
        <f>(F133/Table223729[[#Totals],[Column6]])*100</f>
        <v>4.5501687887585506E-5</v>
      </c>
      <c r="H133" s="240">
        <f t="shared" ref="H133:H182" si="14">((F133/D133)-1)*100</f>
        <v>-70.830470836742194</v>
      </c>
      <c r="I133" s="239">
        <f t="shared" ref="I133:I182" si="15">((F133/B133)-1)*100</f>
        <v>340.52539133130136</v>
      </c>
      <c r="K133" s="241"/>
      <c r="P133" s="4"/>
      <c r="Q133" s="4"/>
      <c r="R133" s="4"/>
      <c r="S133" s="4"/>
      <c r="T133" s="4"/>
    </row>
    <row r="134" spans="1:20" ht="14.5" x14ac:dyDescent="0.35">
      <c r="A134" s="529" t="s">
        <v>582</v>
      </c>
      <c r="B134" s="503">
        <v>1.8086400000000002E-3</v>
      </c>
      <c r="C134" s="240">
        <f t="shared" si="12"/>
        <v>1.382327578626915E-5</v>
      </c>
      <c r="D134" s="503">
        <v>1.180083E-2</v>
      </c>
      <c r="E134" s="240">
        <f t="shared" si="13"/>
        <v>1.0625533198989916E-4</v>
      </c>
      <c r="F134" s="503">
        <v>4.4429700000000001E-3</v>
      </c>
      <c r="G134" s="240">
        <f>(F134/Table223729[[#Totals],[Column6]])*100</f>
        <v>3.951305798741403E-5</v>
      </c>
      <c r="H134" s="240">
        <f t="shared" si="14"/>
        <v>-62.350360101789448</v>
      </c>
      <c r="I134" s="239">
        <f t="shared" si="15"/>
        <v>145.65253450106152</v>
      </c>
      <c r="K134" s="241"/>
      <c r="P134" s="4"/>
      <c r="Q134" s="4"/>
      <c r="R134" s="4"/>
      <c r="S134" s="4"/>
      <c r="T134" s="4"/>
    </row>
    <row r="135" spans="1:20" ht="14.5" x14ac:dyDescent="0.35">
      <c r="A135" s="529" t="s">
        <v>333</v>
      </c>
      <c r="B135" s="503">
        <v>3.4875749999999997E-2</v>
      </c>
      <c r="C135" s="240">
        <f t="shared" si="12"/>
        <v>2.6655227712699939E-4</v>
      </c>
      <c r="D135" s="503">
        <v>0.11386311</v>
      </c>
      <c r="E135" s="240">
        <f t="shared" si="13"/>
        <v>1.025229797772903E-3</v>
      </c>
      <c r="F135" s="503">
        <v>4.3635699999999998E-3</v>
      </c>
      <c r="G135" s="240">
        <f>(F135/Table223729[[#Totals],[Column6]])*100</f>
        <v>3.8806922946168941E-5</v>
      </c>
      <c r="H135" s="240">
        <f t="shared" si="14"/>
        <v>-96.167705238333994</v>
      </c>
      <c r="I135" s="239">
        <f t="shared" si="15"/>
        <v>-87.488240396263876</v>
      </c>
      <c r="K135" s="241"/>
      <c r="P135" s="4"/>
      <c r="Q135" s="4"/>
      <c r="R135" s="4"/>
      <c r="S135" s="4"/>
      <c r="T135" s="4"/>
    </row>
    <row r="136" spans="1:20" ht="14.5" x14ac:dyDescent="0.35">
      <c r="A136" s="529" t="s">
        <v>597</v>
      </c>
      <c r="B136" s="503">
        <v>1.3899999999999999E-2</v>
      </c>
      <c r="C136" s="240">
        <f t="shared" si="12"/>
        <v>1.0623647239314686E-4</v>
      </c>
      <c r="D136" s="503">
        <v>6.3949000000000005E-4</v>
      </c>
      <c r="E136" s="240">
        <f t="shared" si="13"/>
        <v>5.758003653490528E-6</v>
      </c>
      <c r="F136" s="503">
        <v>4.2757099999999994E-3</v>
      </c>
      <c r="G136" s="240">
        <f>(F136/Table223729[[#Totals],[Column6]])*100</f>
        <v>3.802554983881638E-5</v>
      </c>
      <c r="H136" s="240">
        <f t="shared" si="14"/>
        <v>568.61248807643574</v>
      </c>
      <c r="I136" s="239">
        <f t="shared" si="15"/>
        <v>-69.239496402877705</v>
      </c>
      <c r="K136" s="241"/>
      <c r="P136" s="4"/>
      <c r="Q136" s="4"/>
      <c r="R136" s="4"/>
      <c r="S136" s="4"/>
      <c r="T136" s="4"/>
    </row>
    <row r="137" spans="1:20" ht="14.5" x14ac:dyDescent="0.35">
      <c r="A137" s="529" t="s">
        <v>600</v>
      </c>
      <c r="B137" s="503"/>
      <c r="C137" s="240">
        <f t="shared" si="12"/>
        <v>0</v>
      </c>
      <c r="D137" s="503"/>
      <c r="E137" s="240">
        <f t="shared" si="13"/>
        <v>0</v>
      </c>
      <c r="F137" s="503">
        <v>3.8857600000000003E-3</v>
      </c>
      <c r="G137" s="240">
        <f>(F137/Table223729[[#Totals],[Column6]])*100</f>
        <v>3.455757302101386E-5</v>
      </c>
      <c r="H137" s="240" t="s">
        <v>240</v>
      </c>
      <c r="I137" s="239" t="s">
        <v>240</v>
      </c>
      <c r="K137" s="241"/>
      <c r="P137" s="4"/>
      <c r="Q137" s="4"/>
      <c r="R137" s="4"/>
      <c r="S137" s="4"/>
      <c r="T137" s="4"/>
    </row>
    <row r="138" spans="1:20" ht="14.5" x14ac:dyDescent="0.35">
      <c r="A138" s="529" t="s">
        <v>634</v>
      </c>
      <c r="B138" s="503"/>
      <c r="C138" s="240">
        <f t="shared" si="12"/>
        <v>0</v>
      </c>
      <c r="D138" s="503">
        <v>3.6350200000000001E-3</v>
      </c>
      <c r="E138" s="240">
        <f t="shared" si="13"/>
        <v>3.2729922970665897E-5</v>
      </c>
      <c r="F138" s="503">
        <v>3.4559600000000001E-3</v>
      </c>
      <c r="G138" s="240">
        <f>(F138/Table223729[[#Totals],[Column6]])*100</f>
        <v>3.0735194674324468E-5</v>
      </c>
      <c r="H138" s="240">
        <f t="shared" si="14"/>
        <v>-4.9259701459689387</v>
      </c>
      <c r="I138" s="239" t="s">
        <v>240</v>
      </c>
      <c r="K138" s="241"/>
      <c r="P138" s="4"/>
      <c r="Q138" s="4"/>
      <c r="R138" s="4"/>
      <c r="S138" s="4"/>
      <c r="T138" s="4"/>
    </row>
    <row r="139" spans="1:20" ht="14.5" x14ac:dyDescent="0.35">
      <c r="A139" s="529" t="s">
        <v>663</v>
      </c>
      <c r="B139" s="503"/>
      <c r="C139" s="240">
        <f t="shared" si="12"/>
        <v>0</v>
      </c>
      <c r="D139" s="503"/>
      <c r="E139" s="240">
        <f t="shared" si="13"/>
        <v>0</v>
      </c>
      <c r="F139" s="503">
        <v>2.9310900000000003E-3</v>
      </c>
      <c r="G139" s="240">
        <f>(F139/Table223729[[#Totals],[Column6]])*100</f>
        <v>2.6067321889711025E-5</v>
      </c>
      <c r="H139" s="240" t="s">
        <v>240</v>
      </c>
      <c r="I139" s="239" t="s">
        <v>240</v>
      </c>
      <c r="K139" s="241"/>
      <c r="P139" s="4"/>
      <c r="Q139" s="4"/>
      <c r="R139" s="4"/>
      <c r="S139" s="4"/>
      <c r="T139" s="4"/>
    </row>
    <row r="140" spans="1:20" ht="14.5" x14ac:dyDescent="0.35">
      <c r="A140" s="529" t="s">
        <v>622</v>
      </c>
      <c r="B140" s="503"/>
      <c r="C140" s="240">
        <f t="shared" si="12"/>
        <v>0</v>
      </c>
      <c r="D140" s="503"/>
      <c r="E140" s="240">
        <f t="shared" si="13"/>
        <v>0</v>
      </c>
      <c r="F140" s="503">
        <v>2.8371E-3</v>
      </c>
      <c r="G140" s="240">
        <f>(F140/Table223729[[#Totals],[Column6]])*100</f>
        <v>2.5231432311290047E-5</v>
      </c>
      <c r="H140" s="240" t="s">
        <v>240</v>
      </c>
      <c r="I140" s="239" t="s">
        <v>240</v>
      </c>
      <c r="K140" s="241"/>
      <c r="P140" s="4"/>
      <c r="Q140" s="4"/>
      <c r="R140" s="4"/>
      <c r="S140" s="4"/>
      <c r="T140" s="4"/>
    </row>
    <row r="141" spans="1:20" ht="14.5" x14ac:dyDescent="0.35">
      <c r="A141" s="529" t="s">
        <v>631</v>
      </c>
      <c r="B141" s="503"/>
      <c r="C141" s="240">
        <f t="shared" si="12"/>
        <v>0</v>
      </c>
      <c r="D141" s="503">
        <v>1.863157E-2</v>
      </c>
      <c r="E141" s="240">
        <f t="shared" si="13"/>
        <v>1.6775969621145678E-4</v>
      </c>
      <c r="F141" s="503">
        <v>2.2511999999999996E-3</v>
      </c>
      <c r="G141" s="240">
        <f>(F141/Table223729[[#Totals],[Column6]])*100</f>
        <v>2.002079603086819E-5</v>
      </c>
      <c r="H141" s="240">
        <f t="shared" si="14"/>
        <v>-87.917282333158184</v>
      </c>
      <c r="I141" s="239" t="s">
        <v>240</v>
      </c>
      <c r="K141" s="241"/>
      <c r="P141" s="4"/>
      <c r="Q141" s="4"/>
      <c r="R141" s="4"/>
      <c r="S141" s="4"/>
      <c r="T141" s="4"/>
    </row>
    <row r="142" spans="1:20" ht="14.5" x14ac:dyDescent="0.35">
      <c r="A142" s="529" t="s">
        <v>664</v>
      </c>
      <c r="B142" s="503"/>
      <c r="C142" s="240">
        <f t="shared" si="12"/>
        <v>0</v>
      </c>
      <c r="D142" s="503">
        <v>1.61E-2</v>
      </c>
      <c r="E142" s="240">
        <f t="shared" si="13"/>
        <v>1.4496529863046722E-4</v>
      </c>
      <c r="F142" s="503">
        <v>2.2207300000000002E-3</v>
      </c>
      <c r="G142" s="240">
        <f>(F142/Table223729[[#Totals],[Column6]])*100</f>
        <v>1.9749814485443286E-5</v>
      </c>
      <c r="H142" s="240">
        <f t="shared" si="14"/>
        <v>-86.206645962732921</v>
      </c>
      <c r="I142" s="239" t="s">
        <v>240</v>
      </c>
      <c r="K142" s="241"/>
      <c r="P142" s="4"/>
      <c r="Q142" s="4"/>
      <c r="R142" s="4"/>
      <c r="S142" s="4"/>
      <c r="T142" s="4"/>
    </row>
    <row r="143" spans="1:20" ht="14.5" x14ac:dyDescent="0.35">
      <c r="A143" s="529" t="s">
        <v>574</v>
      </c>
      <c r="B143" s="503">
        <v>1.10781E-2</v>
      </c>
      <c r="C143" s="240">
        <f t="shared" si="12"/>
        <v>8.4668939915001471E-5</v>
      </c>
      <c r="D143" s="503">
        <v>1.0052809999999999E-2</v>
      </c>
      <c r="E143" s="240">
        <f t="shared" si="13"/>
        <v>9.0516062343189258E-5</v>
      </c>
      <c r="F143" s="503">
        <v>2.1205199999999999E-3</v>
      </c>
      <c r="G143" s="240">
        <f>(F143/Table223729[[#Totals],[Column6]])*100</f>
        <v>1.8858608030995298E-5</v>
      </c>
      <c r="H143" s="240">
        <f t="shared" si="14"/>
        <v>-78.906196376933408</v>
      </c>
      <c r="I143" s="239">
        <f t="shared" si="15"/>
        <v>-80.85845045630569</v>
      </c>
      <c r="K143" s="241"/>
      <c r="P143" s="4"/>
      <c r="Q143" s="4"/>
      <c r="R143" s="4"/>
      <c r="S143" s="4"/>
      <c r="T143" s="4"/>
    </row>
    <row r="144" spans="1:20" ht="14.5" x14ac:dyDescent="0.35">
      <c r="A144" s="529" t="s">
        <v>595</v>
      </c>
      <c r="B144" s="503">
        <v>7.0569529999999991E-2</v>
      </c>
      <c r="C144" s="240">
        <f t="shared" si="12"/>
        <v>5.3935668529801078E-4</v>
      </c>
      <c r="D144" s="503">
        <v>0.52217726000000009</v>
      </c>
      <c r="E144" s="240">
        <f t="shared" si="13"/>
        <v>4.7017131946546047E-3</v>
      </c>
      <c r="F144" s="503">
        <v>2.0856799999999999E-3</v>
      </c>
      <c r="G144" s="240">
        <f>(F144/Table223729[[#Totals],[Column6]])*100</f>
        <v>1.8548762378136626E-5</v>
      </c>
      <c r="H144" s="240">
        <f t="shared" si="14"/>
        <v>-99.60058007887973</v>
      </c>
      <c r="I144" s="239">
        <f t="shared" si="15"/>
        <v>-97.044503484719257</v>
      </c>
      <c r="K144" s="241"/>
      <c r="P144" s="4"/>
      <c r="Q144" s="4"/>
      <c r="R144" s="4"/>
      <c r="S144" s="4"/>
      <c r="T144" s="4"/>
    </row>
    <row r="145" spans="1:20" ht="14.5" x14ac:dyDescent="0.35">
      <c r="A145" s="529" t="s">
        <v>598</v>
      </c>
      <c r="B145" s="503"/>
      <c r="C145" s="240">
        <f t="shared" si="12"/>
        <v>0</v>
      </c>
      <c r="D145" s="503"/>
      <c r="E145" s="240">
        <f t="shared" si="13"/>
        <v>0</v>
      </c>
      <c r="F145" s="503">
        <v>1.1739000000000001E-3</v>
      </c>
      <c r="G145" s="240">
        <f>(F145/Table223729[[#Totals],[Column6]])*100</f>
        <v>1.0439948676544142E-5</v>
      </c>
      <c r="H145" s="240" t="s">
        <v>240</v>
      </c>
      <c r="I145" s="239" t="s">
        <v>240</v>
      </c>
      <c r="K145" s="241"/>
      <c r="P145" s="4"/>
      <c r="Q145" s="4"/>
      <c r="R145" s="4"/>
      <c r="S145" s="4"/>
      <c r="T145" s="4"/>
    </row>
    <row r="146" spans="1:20" ht="14.5" x14ac:dyDescent="0.35">
      <c r="A146" s="529" t="s">
        <v>599</v>
      </c>
      <c r="B146" s="503">
        <v>0.29479483000000001</v>
      </c>
      <c r="C146" s="240">
        <f t="shared" si="12"/>
        <v>2.253090850283268E-3</v>
      </c>
      <c r="D146" s="503">
        <v>1.0058E-4</v>
      </c>
      <c r="E146" s="240">
        <f t="shared" si="13"/>
        <v>9.0562793392872013E-7</v>
      </c>
      <c r="F146" s="503">
        <v>1.0228799999999999E-3</v>
      </c>
      <c r="G146" s="240">
        <f>(F146/Table223729[[#Totals],[Column6]])*100</f>
        <v>9.0968691560298753E-6</v>
      </c>
      <c r="H146" s="240">
        <f t="shared" si="14"/>
        <v>916.9815072579039</v>
      </c>
      <c r="I146" s="239">
        <f t="shared" si="15"/>
        <v>-99.653019695087593</v>
      </c>
      <c r="K146" s="241"/>
      <c r="P146" s="4"/>
      <c r="Q146" s="4"/>
      <c r="R146" s="4"/>
      <c r="S146" s="4"/>
      <c r="T146" s="4"/>
    </row>
    <row r="147" spans="1:20" ht="14.5" x14ac:dyDescent="0.35">
      <c r="A147" s="529" t="s">
        <v>591</v>
      </c>
      <c r="B147" s="503"/>
      <c r="C147" s="240">
        <f t="shared" si="12"/>
        <v>0</v>
      </c>
      <c r="D147" s="503">
        <v>1.9570110000000002E-2</v>
      </c>
      <c r="E147" s="240">
        <f t="shared" si="13"/>
        <v>1.7621036275658963E-4</v>
      </c>
      <c r="F147" s="503">
        <v>9.2590999999999995E-4</v>
      </c>
      <c r="G147" s="240">
        <f>(F147/Table223729[[#Totals],[Column6]])*100</f>
        <v>8.2344772800911368E-6</v>
      </c>
      <c r="H147" s="240">
        <f t="shared" si="14"/>
        <v>-95.268754237967997</v>
      </c>
      <c r="I147" s="239" t="s">
        <v>240</v>
      </c>
      <c r="K147" s="241"/>
      <c r="P147" s="4"/>
      <c r="Q147" s="4"/>
      <c r="R147" s="4"/>
      <c r="S147" s="4"/>
      <c r="T147" s="4"/>
    </row>
    <row r="148" spans="1:20" ht="14.5" x14ac:dyDescent="0.35">
      <c r="A148" s="529" t="s">
        <v>294</v>
      </c>
      <c r="B148" s="503"/>
      <c r="C148" s="240">
        <f t="shared" si="12"/>
        <v>0</v>
      </c>
      <c r="D148" s="503"/>
      <c r="E148" s="240">
        <f t="shared" si="13"/>
        <v>0</v>
      </c>
      <c r="F148" s="503">
        <v>8.0946000000000002E-4</v>
      </c>
      <c r="G148" s="240">
        <f>(F148/Table223729[[#Totals],[Column6]])*100</f>
        <v>7.1988421975597771E-6</v>
      </c>
      <c r="H148" s="240" t="s">
        <v>240</v>
      </c>
      <c r="I148" s="239" t="s">
        <v>240</v>
      </c>
      <c r="K148" s="241"/>
      <c r="P148" s="4"/>
      <c r="Q148" s="4"/>
      <c r="R148" s="4"/>
      <c r="S148" s="4"/>
      <c r="T148" s="4"/>
    </row>
    <row r="149" spans="1:20" ht="14.5" x14ac:dyDescent="0.35">
      <c r="A149" s="529" t="s">
        <v>570</v>
      </c>
      <c r="B149" s="503">
        <v>2.5399959999999999E-2</v>
      </c>
      <c r="C149" s="240">
        <f t="shared" si="12"/>
        <v>1.9412965103072195E-4</v>
      </c>
      <c r="D149" s="503">
        <v>5.4757399999999998E-3</v>
      </c>
      <c r="E149" s="240">
        <f t="shared" si="13"/>
        <v>4.9303868591477916E-5</v>
      </c>
      <c r="F149" s="503">
        <v>7.7407000000000007E-4</v>
      </c>
      <c r="G149" s="240">
        <f>(F149/Table223729[[#Totals],[Column6]])*100</f>
        <v>6.884105181065274E-6</v>
      </c>
      <c r="H149" s="240">
        <f t="shared" si="14"/>
        <v>-85.863645826865408</v>
      </c>
      <c r="I149" s="239">
        <f t="shared" si="15"/>
        <v>-96.952475515709466</v>
      </c>
      <c r="K149" s="241"/>
      <c r="P149" s="4"/>
      <c r="Q149" s="4"/>
      <c r="R149" s="4"/>
      <c r="S149" s="4"/>
      <c r="T149" s="4"/>
    </row>
    <row r="150" spans="1:20" ht="14.5" x14ac:dyDescent="0.35">
      <c r="A150" s="529" t="s">
        <v>589</v>
      </c>
      <c r="B150" s="503">
        <v>5.1468360000000005E-2</v>
      </c>
      <c r="C150" s="240">
        <f t="shared" si="12"/>
        <v>3.9336812994680181E-4</v>
      </c>
      <c r="D150" s="503">
        <v>0.26896738000000003</v>
      </c>
      <c r="E150" s="240">
        <f t="shared" si="13"/>
        <v>2.4217973020841219E-3</v>
      </c>
      <c r="F150" s="503">
        <v>6.9621000000000006E-4</v>
      </c>
      <c r="G150" s="240">
        <f>(F150/Table223729[[#Totals],[Column6]])*100</f>
        <v>6.191665958000509E-6</v>
      </c>
      <c r="H150" s="240">
        <f t="shared" si="14"/>
        <v>-99.741154484978807</v>
      </c>
      <c r="I150" s="239">
        <f t="shared" si="15"/>
        <v>-98.647304868466762</v>
      </c>
      <c r="K150" s="241"/>
      <c r="P150" s="4"/>
      <c r="Q150" s="4"/>
      <c r="R150" s="4"/>
      <c r="S150" s="4"/>
      <c r="T150" s="4"/>
    </row>
    <row r="151" spans="1:20" ht="14.5" x14ac:dyDescent="0.35">
      <c r="A151" s="529" t="s">
        <v>596</v>
      </c>
      <c r="B151" s="503">
        <v>2.3306279999999999E-2</v>
      </c>
      <c r="C151" s="240">
        <f t="shared" si="12"/>
        <v>1.7812783969834179E-4</v>
      </c>
      <c r="D151" s="503">
        <v>4.3916899999999995E-2</v>
      </c>
      <c r="E151" s="240">
        <f t="shared" si="13"/>
        <v>3.9543021884623389E-4</v>
      </c>
      <c r="F151" s="503">
        <v>6.9151E-4</v>
      </c>
      <c r="G151" s="240">
        <f>(F151/Table223729[[#Totals],[Column6]])*100</f>
        <v>6.149867032385245E-6</v>
      </c>
      <c r="H151" s="240">
        <f t="shared" si="14"/>
        <v>-98.425412540502634</v>
      </c>
      <c r="I151" s="239">
        <f t="shared" si="15"/>
        <v>-97.032945626672301</v>
      </c>
      <c r="K151" s="241"/>
      <c r="P151" s="4"/>
      <c r="Q151" s="4"/>
      <c r="R151" s="4"/>
      <c r="S151" s="4"/>
      <c r="T151" s="4"/>
    </row>
    <row r="152" spans="1:20" ht="14.5" x14ac:dyDescent="0.35">
      <c r="A152" s="529" t="s">
        <v>590</v>
      </c>
      <c r="B152" s="503"/>
      <c r="C152" s="240">
        <f t="shared" si="12"/>
        <v>0</v>
      </c>
      <c r="D152" s="503">
        <v>6.9443E-4</v>
      </c>
      <c r="E152" s="240">
        <f t="shared" si="13"/>
        <v>6.2526864799972272E-6</v>
      </c>
      <c r="F152" s="503">
        <v>6.7876999999999998E-4</v>
      </c>
      <c r="G152" s="240">
        <f>(F152/Table223729[[#Totals],[Column6]])*100</f>
        <v>6.0365652638025957E-6</v>
      </c>
      <c r="H152" s="240">
        <f t="shared" si="14"/>
        <v>-2.2550869058076461</v>
      </c>
      <c r="I152" s="239" t="s">
        <v>240</v>
      </c>
      <c r="K152" s="241"/>
      <c r="P152" s="4"/>
      <c r="Q152" s="4"/>
      <c r="R152" s="4"/>
      <c r="S152" s="4"/>
      <c r="T152" s="4"/>
    </row>
    <row r="153" spans="1:20" ht="14.5" x14ac:dyDescent="0.35">
      <c r="A153" s="529" t="s">
        <v>563</v>
      </c>
      <c r="B153" s="503"/>
      <c r="C153" s="240">
        <f t="shared" si="12"/>
        <v>0</v>
      </c>
      <c r="D153" s="503">
        <v>0.13255885000000003</v>
      </c>
      <c r="E153" s="240">
        <f t="shared" si="13"/>
        <v>1.1935672842460444E-3</v>
      </c>
      <c r="F153" s="503">
        <v>4.8788999999999999E-4</v>
      </c>
      <c r="G153" s="240">
        <f>(F153/Table223729[[#Totals],[Column6]])*100</f>
        <v>4.3389952805171832E-6</v>
      </c>
      <c r="H153" s="240">
        <f t="shared" si="14"/>
        <v>-99.631944604226732</v>
      </c>
      <c r="I153" s="239" t="s">
        <v>240</v>
      </c>
      <c r="K153" s="241"/>
      <c r="P153" s="4"/>
      <c r="Q153" s="4"/>
      <c r="R153" s="4"/>
      <c r="S153" s="4"/>
      <c r="T153" s="4"/>
    </row>
    <row r="154" spans="1:20" ht="14.5" x14ac:dyDescent="0.35">
      <c r="A154" s="529" t="s">
        <v>681</v>
      </c>
      <c r="B154" s="503">
        <v>2.351E-4</v>
      </c>
      <c r="C154" s="240">
        <f t="shared" si="12"/>
        <v>1.7968485366639446E-6</v>
      </c>
      <c r="D154" s="503"/>
      <c r="E154" s="240">
        <f t="shared" si="13"/>
        <v>0</v>
      </c>
      <c r="F154" s="503">
        <v>3.3104E-4</v>
      </c>
      <c r="G154" s="240">
        <f>(F154/Table223729[[#Totals],[Column6]])*100</f>
        <v>2.9440673054631337E-6</v>
      </c>
      <c r="H154" s="240" t="s">
        <v>240</v>
      </c>
      <c r="I154" s="239">
        <f t="shared" si="15"/>
        <v>40.808166737558494</v>
      </c>
      <c r="K154" s="241"/>
      <c r="P154" s="4"/>
      <c r="Q154" s="4"/>
      <c r="R154" s="4"/>
      <c r="S154" s="4"/>
      <c r="T154" s="4"/>
    </row>
    <row r="155" spans="1:20" ht="14.5" x14ac:dyDescent="0.35">
      <c r="A155" s="529" t="s">
        <v>637</v>
      </c>
      <c r="B155" s="503">
        <v>2.6543970000000004E-2</v>
      </c>
      <c r="C155" s="240">
        <f t="shared" si="12"/>
        <v>2.0287321842514527E-4</v>
      </c>
      <c r="D155" s="503"/>
      <c r="E155" s="240">
        <f t="shared" si="13"/>
        <v>0</v>
      </c>
      <c r="F155" s="503"/>
      <c r="G155" s="240">
        <f>(F155/Table223729[[#Totals],[Column6]])*100</f>
        <v>0</v>
      </c>
      <c r="H155" s="240" t="s">
        <v>240</v>
      </c>
      <c r="I155" s="239">
        <f t="shared" si="15"/>
        <v>-100</v>
      </c>
      <c r="K155" s="241"/>
      <c r="P155" s="4"/>
      <c r="Q155" s="4"/>
      <c r="R155" s="4"/>
      <c r="S155" s="4"/>
      <c r="T155" s="4"/>
    </row>
    <row r="156" spans="1:20" ht="14.5" x14ac:dyDescent="0.35">
      <c r="A156" s="529" t="s">
        <v>603</v>
      </c>
      <c r="B156" s="503">
        <v>2.9425800000000002E-3</v>
      </c>
      <c r="C156" s="240">
        <f t="shared" si="12"/>
        <v>2.2489879060045046E-5</v>
      </c>
      <c r="D156" s="503">
        <v>1.8520699999999999E-3</v>
      </c>
      <c r="E156" s="240">
        <f t="shared" si="13"/>
        <v>1.6676141654318596E-5</v>
      </c>
      <c r="F156" s="503"/>
      <c r="G156" s="240">
        <f>(F156/Table223729[[#Totals],[Column6]])*100</f>
        <v>0</v>
      </c>
      <c r="H156" s="240">
        <f t="shared" si="14"/>
        <v>-100</v>
      </c>
      <c r="I156" s="239">
        <f t="shared" si="15"/>
        <v>-100</v>
      </c>
      <c r="K156" s="241"/>
      <c r="P156" s="4"/>
      <c r="Q156" s="4"/>
      <c r="R156" s="4"/>
      <c r="S156" s="4"/>
      <c r="T156" s="4"/>
    </row>
    <row r="157" spans="1:20" ht="14.5" x14ac:dyDescent="0.35">
      <c r="A157" s="529" t="s">
        <v>605</v>
      </c>
      <c r="B157" s="503">
        <v>9.3599999999999998E-4</v>
      </c>
      <c r="C157" s="240">
        <f t="shared" si="12"/>
        <v>7.1537653352507533E-6</v>
      </c>
      <c r="D157" s="503">
        <v>7.8984900000000011E-3</v>
      </c>
      <c r="E157" s="240">
        <f t="shared" si="13"/>
        <v>7.111844481861859E-5</v>
      </c>
      <c r="F157" s="503"/>
      <c r="G157" s="240">
        <f>(F157/Table223729[[#Totals],[Column6]])*100</f>
        <v>0</v>
      </c>
      <c r="H157" s="240">
        <f t="shared" si="14"/>
        <v>-100</v>
      </c>
      <c r="I157" s="239">
        <f t="shared" si="15"/>
        <v>-100</v>
      </c>
      <c r="K157" s="241"/>
      <c r="P157" s="4"/>
      <c r="Q157" s="4"/>
      <c r="R157" s="4"/>
      <c r="S157" s="4"/>
      <c r="T157" s="4"/>
    </row>
    <row r="158" spans="1:20" ht="14.5" x14ac:dyDescent="0.35">
      <c r="A158" s="529" t="s">
        <v>601</v>
      </c>
      <c r="B158" s="503">
        <v>0.36835994999999999</v>
      </c>
      <c r="C158" s="240">
        <f t="shared" si="12"/>
        <v>2.8153425653896376E-3</v>
      </c>
      <c r="D158" s="503">
        <v>1.1062999999999999E-3</v>
      </c>
      <c r="E158" s="240">
        <f t="shared" si="13"/>
        <v>9.9611869487506763E-6</v>
      </c>
      <c r="F158" s="503"/>
      <c r="G158" s="240">
        <f>(F158/Table223729[[#Totals],[Column6]])*100</f>
        <v>0</v>
      </c>
      <c r="H158" s="240">
        <f t="shared" si="14"/>
        <v>-100</v>
      </c>
      <c r="I158" s="239">
        <f t="shared" si="15"/>
        <v>-100</v>
      </c>
      <c r="K158" s="241"/>
      <c r="P158" s="4"/>
      <c r="Q158" s="4"/>
      <c r="R158" s="4"/>
      <c r="S158" s="4"/>
      <c r="T158" s="4"/>
    </row>
    <row r="159" spans="1:20" ht="14.5" x14ac:dyDescent="0.35">
      <c r="A159" s="529" t="s">
        <v>623</v>
      </c>
      <c r="B159" s="503">
        <v>3.8787800000000001E-3</v>
      </c>
      <c r="C159" s="240">
        <f t="shared" si="12"/>
        <v>2.9645172977632392E-5</v>
      </c>
      <c r="D159" s="503"/>
      <c r="E159" s="240">
        <f t="shared" si="13"/>
        <v>0</v>
      </c>
      <c r="F159" s="503"/>
      <c r="G159" s="240">
        <f>(F159/Table223729[[#Totals],[Column6]])*100</f>
        <v>0</v>
      </c>
      <c r="H159" s="240" t="s">
        <v>240</v>
      </c>
      <c r="I159" s="239">
        <f t="shared" si="15"/>
        <v>-100</v>
      </c>
      <c r="K159" s="241"/>
      <c r="P159" s="4"/>
      <c r="Q159" s="4"/>
      <c r="R159" s="4"/>
      <c r="S159" s="4"/>
      <c r="T159" s="4"/>
    </row>
    <row r="160" spans="1:20" ht="14.5" x14ac:dyDescent="0.35">
      <c r="A160" s="529" t="s">
        <v>635</v>
      </c>
      <c r="B160" s="503">
        <v>1.238685E-2</v>
      </c>
      <c r="C160" s="240">
        <f t="shared" si="12"/>
        <v>9.4671600580075637E-5</v>
      </c>
      <c r="D160" s="503"/>
      <c r="E160" s="240">
        <f t="shared" si="13"/>
        <v>0</v>
      </c>
      <c r="F160" s="503"/>
      <c r="G160" s="240">
        <f>(F160/Table223729[[#Totals],[Column6]])*100</f>
        <v>0</v>
      </c>
      <c r="H160" s="240" t="s">
        <v>240</v>
      </c>
      <c r="I160" s="239">
        <f t="shared" si="15"/>
        <v>-100</v>
      </c>
      <c r="K160" s="241"/>
      <c r="P160" s="4"/>
      <c r="Q160" s="4"/>
      <c r="R160" s="4"/>
      <c r="S160" s="4"/>
      <c r="T160" s="4"/>
    </row>
    <row r="161" spans="1:20" ht="14.5" x14ac:dyDescent="0.35">
      <c r="A161" s="529" t="s">
        <v>592</v>
      </c>
      <c r="B161" s="503">
        <v>6.50653E-3</v>
      </c>
      <c r="C161" s="240">
        <f t="shared" si="12"/>
        <v>4.9728834152531074E-5</v>
      </c>
      <c r="D161" s="503">
        <v>1.1705868700000002</v>
      </c>
      <c r="E161" s="240">
        <f t="shared" si="13"/>
        <v>1.0540029514438134E-2</v>
      </c>
      <c r="F161" s="503"/>
      <c r="G161" s="240">
        <f>(F161/Table223729[[#Totals],[Column6]])*100</f>
        <v>0</v>
      </c>
      <c r="H161" s="240">
        <f t="shared" si="14"/>
        <v>-100</v>
      </c>
      <c r="I161" s="239">
        <f t="shared" si="15"/>
        <v>-100</v>
      </c>
      <c r="K161" s="241"/>
      <c r="P161" s="4"/>
      <c r="Q161" s="4"/>
      <c r="R161" s="4"/>
      <c r="S161" s="4"/>
      <c r="T161" s="4"/>
    </row>
    <row r="162" spans="1:20" ht="14.5" x14ac:dyDescent="0.35">
      <c r="A162" s="529" t="s">
        <v>579</v>
      </c>
      <c r="B162" s="503">
        <v>1.7850980300000001</v>
      </c>
      <c r="C162" s="240">
        <f t="shared" si="12"/>
        <v>1.364334658871625E-2</v>
      </c>
      <c r="D162" s="503">
        <v>0.12273062</v>
      </c>
      <c r="E162" s="240">
        <f t="shared" si="13"/>
        <v>1.1050733527579125E-3</v>
      </c>
      <c r="F162" s="503"/>
      <c r="G162" s="240">
        <f>(F162/Table223729[[#Totals],[Column6]])*100</f>
        <v>0</v>
      </c>
      <c r="H162" s="240">
        <f t="shared" si="14"/>
        <v>-100</v>
      </c>
      <c r="I162" s="239">
        <f t="shared" si="15"/>
        <v>-100</v>
      </c>
      <c r="K162" s="241"/>
      <c r="P162" s="4"/>
      <c r="Q162" s="4"/>
      <c r="R162" s="4"/>
      <c r="S162" s="4"/>
      <c r="T162" s="4"/>
    </row>
    <row r="163" spans="1:20" ht="14.5" x14ac:dyDescent="0.35">
      <c r="A163" s="529" t="s">
        <v>666</v>
      </c>
      <c r="B163" s="503">
        <v>4.8777E-4</v>
      </c>
      <c r="C163" s="240">
        <f t="shared" si="12"/>
        <v>3.7279830315975001E-6</v>
      </c>
      <c r="D163" s="503"/>
      <c r="E163" s="240">
        <f t="shared" si="13"/>
        <v>0</v>
      </c>
      <c r="F163" s="503"/>
      <c r="G163" s="240">
        <f>(F163/Table223729[[#Totals],[Column6]])*100</f>
        <v>0</v>
      </c>
      <c r="H163" s="240" t="s">
        <v>240</v>
      </c>
      <c r="I163" s="239">
        <f t="shared" si="15"/>
        <v>-100</v>
      </c>
      <c r="K163" s="241"/>
      <c r="P163" s="4"/>
      <c r="Q163" s="4"/>
      <c r="R163" s="4"/>
      <c r="S163" s="4"/>
      <c r="T163" s="4"/>
    </row>
    <row r="164" spans="1:20" ht="14.5" x14ac:dyDescent="0.35">
      <c r="A164" s="529" t="s">
        <v>662</v>
      </c>
      <c r="B164" s="503"/>
      <c r="C164" s="240">
        <f t="shared" ref="C164:C182" si="16">(B164/$B$183)*100</f>
        <v>0</v>
      </c>
      <c r="D164" s="503">
        <v>2.7618400000000002E-3</v>
      </c>
      <c r="E164" s="240">
        <f t="shared" ref="E164:E182" si="17">(D164/$D$183)*100</f>
        <v>2.4867761513637865E-5</v>
      </c>
      <c r="F164" s="503"/>
      <c r="G164" s="240">
        <f>(F164/Table223729[[#Totals],[Column6]])*100</f>
        <v>0</v>
      </c>
      <c r="H164" s="240">
        <f t="shared" si="14"/>
        <v>-100</v>
      </c>
      <c r="I164" s="239" t="s">
        <v>240</v>
      </c>
      <c r="K164" s="241"/>
      <c r="P164" s="4"/>
      <c r="Q164" s="4"/>
      <c r="R164" s="4"/>
      <c r="S164" s="4"/>
      <c r="T164" s="4"/>
    </row>
    <row r="165" spans="1:20" ht="14.5" x14ac:dyDescent="0.35">
      <c r="A165" s="529" t="s">
        <v>283</v>
      </c>
      <c r="B165" s="503">
        <v>1.6650829599999999</v>
      </c>
      <c r="C165" s="240">
        <f t="shared" si="16"/>
        <v>1.2726082008081964E-2</v>
      </c>
      <c r="D165" s="503"/>
      <c r="E165" s="240">
        <f t="shared" si="17"/>
        <v>0</v>
      </c>
      <c r="F165" s="503"/>
      <c r="G165" s="240">
        <f>(F165/Table223729[[#Totals],[Column6]])*100</f>
        <v>0</v>
      </c>
      <c r="H165" s="240" t="s">
        <v>240</v>
      </c>
      <c r="I165" s="239">
        <f t="shared" si="15"/>
        <v>-100</v>
      </c>
      <c r="K165" s="241"/>
      <c r="P165" s="4"/>
      <c r="Q165" s="4"/>
      <c r="R165" s="4"/>
      <c r="S165" s="4"/>
      <c r="T165" s="4"/>
    </row>
    <row r="166" spans="1:20" ht="14.5" x14ac:dyDescent="0.35">
      <c r="A166" s="529" t="s">
        <v>620</v>
      </c>
      <c r="B166" s="503"/>
      <c r="C166" s="240">
        <f t="shared" si="16"/>
        <v>0</v>
      </c>
      <c r="D166" s="503">
        <v>1.2868399999999998E-3</v>
      </c>
      <c r="E166" s="240">
        <f t="shared" si="17"/>
        <v>1.1586779185691331E-5</v>
      </c>
      <c r="F166" s="503"/>
      <c r="G166" s="240">
        <f>(F166/Table223729[[#Totals],[Column6]])*100</f>
        <v>0</v>
      </c>
      <c r="H166" s="240">
        <f t="shared" si="14"/>
        <v>-100</v>
      </c>
      <c r="I166" s="239" t="s">
        <v>240</v>
      </c>
      <c r="K166" s="241"/>
      <c r="P166" s="4"/>
      <c r="Q166" s="4"/>
      <c r="R166" s="4"/>
      <c r="S166" s="4"/>
      <c r="T166" s="4"/>
    </row>
    <row r="167" spans="1:20" ht="14.5" x14ac:dyDescent="0.35">
      <c r="A167" s="529" t="s">
        <v>656</v>
      </c>
      <c r="B167" s="503"/>
      <c r="C167" s="240">
        <f t="shared" si="16"/>
        <v>0</v>
      </c>
      <c r="D167" s="503">
        <v>0.45933149000000001</v>
      </c>
      <c r="E167" s="240">
        <f t="shared" si="17"/>
        <v>4.1358463738029481E-3</v>
      </c>
      <c r="F167" s="503"/>
      <c r="G167" s="240">
        <f>(F167/Table223729[[#Totals],[Column6]])*100</f>
        <v>0</v>
      </c>
      <c r="H167" s="240">
        <f t="shared" si="14"/>
        <v>-100</v>
      </c>
      <c r="I167" s="239" t="s">
        <v>240</v>
      </c>
      <c r="K167" s="241"/>
      <c r="P167" s="4"/>
      <c r="Q167" s="4"/>
      <c r="R167" s="4"/>
      <c r="S167" s="4"/>
      <c r="T167" s="4"/>
    </row>
    <row r="168" spans="1:20" ht="14.5" x14ac:dyDescent="0.35">
      <c r="A168" s="529" t="s">
        <v>632</v>
      </c>
      <c r="B168" s="503"/>
      <c r="C168" s="240">
        <f t="shared" si="16"/>
        <v>0</v>
      </c>
      <c r="D168" s="503">
        <v>1.7209200000000001E-3</v>
      </c>
      <c r="E168" s="240">
        <f t="shared" si="17"/>
        <v>1.5495259734108302E-5</v>
      </c>
      <c r="F168" s="503"/>
      <c r="G168" s="240">
        <f>(F168/Table223729[[#Totals],[Column6]])*100</f>
        <v>0</v>
      </c>
      <c r="H168" s="240">
        <f t="shared" si="14"/>
        <v>-100</v>
      </c>
      <c r="I168" s="239" t="s">
        <v>240</v>
      </c>
      <c r="K168" s="241"/>
      <c r="P168" s="4"/>
      <c r="Q168" s="4"/>
      <c r="R168" s="4"/>
      <c r="S168" s="4"/>
      <c r="T168" s="4"/>
    </row>
    <row r="169" spans="1:20" ht="14.5" x14ac:dyDescent="0.35">
      <c r="A169" s="529" t="s">
        <v>610</v>
      </c>
      <c r="B169" s="503">
        <v>0.29249379999999997</v>
      </c>
      <c r="C169" s="240">
        <f t="shared" si="16"/>
        <v>2.2355042812134259E-3</v>
      </c>
      <c r="D169" s="503"/>
      <c r="E169" s="240">
        <f t="shared" si="17"/>
        <v>0</v>
      </c>
      <c r="F169" s="503"/>
      <c r="G169" s="240">
        <f>(F169/Table223729[[#Totals],[Column6]])*100</f>
        <v>0</v>
      </c>
      <c r="H169" s="240" t="s">
        <v>240</v>
      </c>
      <c r="I169" s="239">
        <f t="shared" si="15"/>
        <v>-100</v>
      </c>
      <c r="K169" s="241"/>
      <c r="P169" s="4"/>
      <c r="Q169" s="4"/>
      <c r="R169" s="4"/>
      <c r="S169" s="4"/>
      <c r="T169" s="4"/>
    </row>
    <row r="170" spans="1:20" ht="14.5" x14ac:dyDescent="0.35">
      <c r="A170" s="529" t="s">
        <v>284</v>
      </c>
      <c r="B170" s="503"/>
      <c r="C170" s="240">
        <f t="shared" si="16"/>
        <v>0</v>
      </c>
      <c r="D170" s="503">
        <v>1.33365E-3</v>
      </c>
      <c r="E170" s="240">
        <f t="shared" si="17"/>
        <v>1.2008259038417555E-5</v>
      </c>
      <c r="F170" s="503"/>
      <c r="G170" s="240">
        <f>(F170/Table223729[[#Totals],[Column6]])*100</f>
        <v>0</v>
      </c>
      <c r="H170" s="240">
        <f t="shared" si="14"/>
        <v>-100</v>
      </c>
      <c r="I170" s="239" t="s">
        <v>240</v>
      </c>
      <c r="K170" s="241"/>
      <c r="P170" s="4"/>
      <c r="Q170" s="4"/>
      <c r="R170" s="4"/>
      <c r="S170" s="4"/>
      <c r="T170" s="4"/>
    </row>
    <row r="171" spans="1:20" ht="14.5" x14ac:dyDescent="0.35">
      <c r="A171" s="529" t="s">
        <v>295</v>
      </c>
      <c r="B171" s="503">
        <v>1.8747999999999999E-4</v>
      </c>
      <c r="C171" s="240">
        <f t="shared" si="16"/>
        <v>1.4328930823213795E-6</v>
      </c>
      <c r="D171" s="503"/>
      <c r="E171" s="240">
        <f t="shared" si="17"/>
        <v>0</v>
      </c>
      <c r="F171" s="503"/>
      <c r="G171" s="240">
        <f>(F171/Table223729[[#Totals],[Column6]])*100</f>
        <v>0</v>
      </c>
      <c r="H171" s="240" t="s">
        <v>240</v>
      </c>
      <c r="I171" s="239">
        <f t="shared" si="15"/>
        <v>-100</v>
      </c>
      <c r="K171" s="241"/>
      <c r="P171" s="4"/>
      <c r="Q171" s="4"/>
      <c r="R171" s="4"/>
      <c r="S171" s="4"/>
      <c r="T171" s="4"/>
    </row>
    <row r="172" spans="1:20" ht="14.5" x14ac:dyDescent="0.35">
      <c r="A172" s="529" t="s">
        <v>268</v>
      </c>
      <c r="B172" s="503">
        <v>0.19032278000000002</v>
      </c>
      <c r="C172" s="240">
        <f t="shared" si="16"/>
        <v>1.4546201987954653E-3</v>
      </c>
      <c r="D172" s="503">
        <v>6.0477300000000005E-2</v>
      </c>
      <c r="E172" s="240">
        <f t="shared" si="17"/>
        <v>5.4454098477418357E-4</v>
      </c>
      <c r="F172" s="503"/>
      <c r="G172" s="240">
        <f>(F172/Table223729[[#Totals],[Column6]])*100</f>
        <v>0</v>
      </c>
      <c r="H172" s="240">
        <f t="shared" si="14"/>
        <v>-100</v>
      </c>
      <c r="I172" s="239">
        <f t="shared" si="15"/>
        <v>-100</v>
      </c>
      <c r="K172" s="241"/>
      <c r="P172" s="4"/>
      <c r="Q172" s="4"/>
      <c r="R172" s="4"/>
      <c r="S172" s="4"/>
      <c r="T172" s="4"/>
    </row>
    <row r="173" spans="1:20" ht="14.5" x14ac:dyDescent="0.35">
      <c r="A173" s="529" t="s">
        <v>553</v>
      </c>
      <c r="B173" s="503"/>
      <c r="C173" s="240">
        <f t="shared" si="16"/>
        <v>0</v>
      </c>
      <c r="D173" s="503">
        <v>2.5726289999999999E-2</v>
      </c>
      <c r="E173" s="240">
        <f t="shared" si="17"/>
        <v>2.3164095108720514E-4</v>
      </c>
      <c r="F173" s="503"/>
      <c r="G173" s="240">
        <f>(F173/Table223729[[#Totals],[Column6]])*100</f>
        <v>0</v>
      </c>
      <c r="H173" s="240">
        <f t="shared" si="14"/>
        <v>-100</v>
      </c>
      <c r="I173" s="239" t="s">
        <v>240</v>
      </c>
      <c r="K173" s="241"/>
      <c r="P173" s="4"/>
      <c r="Q173" s="4"/>
      <c r="R173" s="4"/>
      <c r="S173" s="4"/>
      <c r="T173" s="4"/>
    </row>
    <row r="174" spans="1:20" ht="14.5" x14ac:dyDescent="0.35">
      <c r="A174" s="529" t="s">
        <v>629</v>
      </c>
      <c r="B174" s="503">
        <v>3.0832999999999999E-2</v>
      </c>
      <c r="C174" s="240">
        <f t="shared" si="16"/>
        <v>2.3565389592071205E-4</v>
      </c>
      <c r="D174" s="503"/>
      <c r="E174" s="240">
        <f t="shared" si="17"/>
        <v>0</v>
      </c>
      <c r="F174" s="503"/>
      <c r="G174" s="240">
        <f>(F174/Table223729[[#Totals],[Column6]])*100</f>
        <v>0</v>
      </c>
      <c r="H174" s="240" t="s">
        <v>240</v>
      </c>
      <c r="I174" s="239">
        <f t="shared" si="15"/>
        <v>-100</v>
      </c>
      <c r="K174" s="241"/>
      <c r="P174" s="4"/>
      <c r="Q174" s="4"/>
      <c r="R174" s="4"/>
      <c r="S174" s="4"/>
      <c r="T174" s="4"/>
    </row>
    <row r="175" spans="1:20" ht="14.5" x14ac:dyDescent="0.35">
      <c r="A175" s="529" t="s">
        <v>679</v>
      </c>
      <c r="B175" s="503">
        <v>1.7065230000000001E-2</v>
      </c>
      <c r="C175" s="240">
        <f t="shared" si="16"/>
        <v>1.3042804573940302E-4</v>
      </c>
      <c r="D175" s="503"/>
      <c r="E175" s="240">
        <f t="shared" si="17"/>
        <v>0</v>
      </c>
      <c r="F175" s="503"/>
      <c r="G175" s="240">
        <f>(F175/Table223729[[#Totals],[Column6]])*100</f>
        <v>0</v>
      </c>
      <c r="H175" s="240" t="s">
        <v>240</v>
      </c>
      <c r="I175" s="239">
        <f t="shared" si="15"/>
        <v>-100</v>
      </c>
      <c r="K175" s="241"/>
      <c r="P175" s="4"/>
      <c r="Q175" s="4"/>
      <c r="R175" s="4"/>
      <c r="S175" s="4"/>
      <c r="T175" s="4"/>
    </row>
    <row r="176" spans="1:20" ht="14.5" x14ac:dyDescent="0.35">
      <c r="A176" s="529" t="s">
        <v>604</v>
      </c>
      <c r="B176" s="503"/>
      <c r="C176" s="240">
        <f t="shared" si="16"/>
        <v>0</v>
      </c>
      <c r="D176" s="503">
        <v>1.6970610000000001E-2</v>
      </c>
      <c r="E176" s="240">
        <f t="shared" si="17"/>
        <v>1.5280431966404928E-4</v>
      </c>
      <c r="F176" s="503"/>
      <c r="G176" s="240">
        <f>(F176/Table223729[[#Totals],[Column6]])*100</f>
        <v>0</v>
      </c>
      <c r="H176" s="240">
        <f t="shared" si="14"/>
        <v>-100</v>
      </c>
      <c r="I176" s="239" t="s">
        <v>240</v>
      </c>
      <c r="K176" s="241"/>
      <c r="P176" s="4"/>
      <c r="Q176" s="4"/>
      <c r="R176" s="4"/>
      <c r="S176" s="4"/>
      <c r="T176" s="4"/>
    </row>
    <row r="177" spans="1:20" ht="14.5" x14ac:dyDescent="0.35">
      <c r="A177" s="529" t="s">
        <v>275</v>
      </c>
      <c r="B177" s="503">
        <v>1.02022806</v>
      </c>
      <c r="C177" s="240">
        <f t="shared" si="16"/>
        <v>7.7975129590578274E-3</v>
      </c>
      <c r="D177" s="503">
        <v>0.31059450999999993</v>
      </c>
      <c r="E177" s="240">
        <f t="shared" si="17"/>
        <v>2.7966103040455671E-3</v>
      </c>
      <c r="F177" s="503"/>
      <c r="G177" s="240">
        <f>(F177/Table223729[[#Totals],[Column6]])*100</f>
        <v>0</v>
      </c>
      <c r="H177" s="240">
        <f t="shared" si="14"/>
        <v>-100</v>
      </c>
      <c r="I177" s="239">
        <f t="shared" si="15"/>
        <v>-100</v>
      </c>
      <c r="K177" s="241"/>
      <c r="P177" s="4"/>
      <c r="Q177" s="4"/>
      <c r="R177" s="4"/>
      <c r="S177" s="4"/>
      <c r="T177" s="4"/>
    </row>
    <row r="178" spans="1:20" ht="14.5" x14ac:dyDescent="0.35">
      <c r="A178" s="529" t="s">
        <v>274</v>
      </c>
      <c r="B178" s="503"/>
      <c r="C178" s="240">
        <f t="shared" si="16"/>
        <v>0</v>
      </c>
      <c r="D178" s="503">
        <v>8.9166000000000002E-3</v>
      </c>
      <c r="E178" s="240">
        <f t="shared" si="17"/>
        <v>8.0285564084995288E-5</v>
      </c>
      <c r="F178" s="503"/>
      <c r="G178" s="240">
        <f>(F178/Table223729[[#Totals],[Column6]])*100</f>
        <v>0</v>
      </c>
      <c r="H178" s="240">
        <f t="shared" si="14"/>
        <v>-100</v>
      </c>
      <c r="I178" s="239" t="s">
        <v>240</v>
      </c>
      <c r="K178" s="241"/>
      <c r="P178" s="4"/>
      <c r="Q178" s="4"/>
      <c r="R178" s="4"/>
      <c r="S178" s="4"/>
      <c r="T178" s="4"/>
    </row>
    <row r="179" spans="1:20" ht="14.5" x14ac:dyDescent="0.35">
      <c r="A179" s="529" t="s">
        <v>667</v>
      </c>
      <c r="B179" s="503">
        <v>4.1183999999999998E-2</v>
      </c>
      <c r="C179" s="240">
        <f t="shared" si="16"/>
        <v>3.1476567475103315E-4</v>
      </c>
      <c r="D179" s="503"/>
      <c r="E179" s="240">
        <f t="shared" si="17"/>
        <v>0</v>
      </c>
      <c r="F179" s="503"/>
      <c r="G179" s="240">
        <f>(F179/Table223729[[#Totals],[Column6]])*100</f>
        <v>0</v>
      </c>
      <c r="H179" s="240" t="s">
        <v>240</v>
      </c>
      <c r="I179" s="239">
        <f t="shared" si="15"/>
        <v>-100</v>
      </c>
      <c r="K179" s="241"/>
      <c r="P179" s="4"/>
      <c r="Q179" s="4"/>
      <c r="R179" s="4"/>
      <c r="S179" s="4"/>
      <c r="T179" s="4"/>
    </row>
    <row r="180" spans="1:20" ht="14.5" x14ac:dyDescent="0.35">
      <c r="A180" s="529" t="s">
        <v>659</v>
      </c>
      <c r="B180" s="503"/>
      <c r="C180" s="240">
        <f t="shared" si="16"/>
        <v>0</v>
      </c>
      <c r="D180" s="503">
        <v>3.6820000000000001E-4</v>
      </c>
      <c r="E180" s="240">
        <f t="shared" si="17"/>
        <v>3.3152933512880767E-6</v>
      </c>
      <c r="F180" s="503"/>
      <c r="G180" s="240">
        <f>(F180/Table223729[[#Totals],[Column6]])*100</f>
        <v>0</v>
      </c>
      <c r="H180" s="240">
        <f t="shared" si="14"/>
        <v>-100</v>
      </c>
      <c r="I180" s="239" t="s">
        <v>240</v>
      </c>
      <c r="K180" s="241"/>
      <c r="P180" s="4"/>
      <c r="Q180" s="4"/>
      <c r="R180" s="4"/>
      <c r="S180" s="4"/>
      <c r="T180" s="4"/>
    </row>
    <row r="181" spans="1:20" ht="14.5" x14ac:dyDescent="0.35">
      <c r="A181" s="529" t="s">
        <v>619</v>
      </c>
      <c r="B181" s="503">
        <v>3.7634253599999998</v>
      </c>
      <c r="C181" s="240">
        <f t="shared" si="16"/>
        <v>2.8763527651892724E-2</v>
      </c>
      <c r="D181" s="503">
        <v>0.13557955999999999</v>
      </c>
      <c r="E181" s="240">
        <f t="shared" si="17"/>
        <v>1.220765925688655E-3</v>
      </c>
      <c r="F181" s="503"/>
      <c r="G181" s="240">
        <f>(F181/Table223729[[#Totals],[Column6]])*100</f>
        <v>0</v>
      </c>
      <c r="H181" s="240">
        <f t="shared" si="14"/>
        <v>-100</v>
      </c>
      <c r="I181" s="239">
        <f t="shared" si="15"/>
        <v>-100</v>
      </c>
      <c r="K181" s="241"/>
      <c r="P181" s="4"/>
      <c r="Q181" s="4"/>
      <c r="R181" s="4"/>
      <c r="S181" s="4"/>
      <c r="T181" s="4"/>
    </row>
    <row r="182" spans="1:20" ht="14.5" x14ac:dyDescent="0.35">
      <c r="A182" s="530" t="s">
        <v>658</v>
      </c>
      <c r="B182" s="503">
        <v>1.0268999999999999E-4</v>
      </c>
      <c r="C182" s="240">
        <f t="shared" si="16"/>
        <v>7.8485060072318365E-7</v>
      </c>
      <c r="D182" s="503">
        <v>8.9909999999999998E-5</v>
      </c>
      <c r="E182" s="240">
        <f t="shared" si="17"/>
        <v>8.0955465837672712E-7</v>
      </c>
      <c r="F182" s="503"/>
      <c r="G182" s="240">
        <f>(F182/Table223729[[#Totals],[Column6]])*100</f>
        <v>0</v>
      </c>
      <c r="H182" s="240">
        <f t="shared" si="14"/>
        <v>-100</v>
      </c>
      <c r="I182" s="239">
        <f t="shared" si="15"/>
        <v>-100</v>
      </c>
      <c r="P182" s="4"/>
      <c r="Q182" s="4"/>
      <c r="R182" s="4"/>
      <c r="S182" s="4"/>
      <c r="T182" s="4"/>
    </row>
    <row r="183" spans="1:20" x14ac:dyDescent="0.25">
      <c r="A183" s="5" t="s">
        <v>217</v>
      </c>
      <c r="B183" s="537">
        <f>SUM(Table223729[Column2])</f>
        <v>13084.018780820008</v>
      </c>
      <c r="C183" s="538">
        <f>SUM(Table223729[Column3])</f>
        <v>100.00000000000001</v>
      </c>
      <c r="D183" s="538">
        <f>SUM(Table223729[Column4])</f>
        <v>11106.106186861107</v>
      </c>
      <c r="E183" s="538">
        <f>SUM(Table223729[Column5])</f>
        <v>100.00000000000007</v>
      </c>
      <c r="F183" s="538">
        <f>SUM(Table223729[Column6])</f>
        <v>11244.308151029985</v>
      </c>
      <c r="G183" s="538">
        <f>SUM(Table223729[Column7])</f>
        <v>100.00000000000001</v>
      </c>
      <c r="H183" s="539">
        <f>((F183/D183)-1)*100</f>
        <v>1.2443781991961833</v>
      </c>
      <c r="I183" s="539">
        <f>((F183/B183)-1)*100</f>
        <v>-14.06074586568824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F0C2276-94F1-4162-A50B-D17264B16B8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AL235"/>
  <sheetViews>
    <sheetView zoomScaleNormal="100" workbookViewId="0">
      <selection activeCell="N1" sqref="N1:O1"/>
    </sheetView>
  </sheetViews>
  <sheetFormatPr defaultColWidth="9.1796875" defaultRowHeight="12.5" x14ac:dyDescent="0.25"/>
  <cols>
    <col min="1" max="1" width="56.1796875" style="20" customWidth="1"/>
    <col min="2" max="2" width="13.453125" style="20" bestFit="1" customWidth="1"/>
    <col min="3" max="3" width="12.453125" style="40" customWidth="1"/>
    <col min="4" max="4" width="13.453125" style="20" bestFit="1" customWidth="1"/>
    <col min="5" max="5" width="12.453125" style="40" customWidth="1"/>
    <col min="6" max="6" width="14.81640625" style="38" customWidth="1"/>
    <col min="7" max="7" width="14.453125" style="38" customWidth="1"/>
    <col min="8" max="8" width="17.453125" style="20" customWidth="1"/>
    <col min="9" max="9" width="16.1796875" style="40" bestFit="1" customWidth="1"/>
    <col min="10" max="11" width="13.54296875" style="40" customWidth="1"/>
    <col min="12" max="12" width="14.81640625" style="40" bestFit="1" customWidth="1"/>
    <col min="13" max="13" width="8.7265625" style="540" customWidth="1"/>
    <col min="14" max="19" width="9.1796875" style="20"/>
    <col min="20" max="24" width="9.26953125" style="20" bestFit="1" customWidth="1"/>
    <col min="25" max="25" width="11.36328125" style="20" bestFit="1" customWidth="1"/>
    <col min="26" max="26" width="9.7265625" style="20" bestFit="1" customWidth="1"/>
    <col min="27" max="27" width="9.1796875" style="20" bestFit="1" customWidth="1"/>
    <col min="28" max="30" width="9.1796875" style="20"/>
    <col min="31" max="31" width="16.36328125" style="20" bestFit="1" customWidth="1"/>
    <col min="32" max="16384" width="9.1796875" style="20"/>
  </cols>
  <sheetData>
    <row r="1" spans="1:38" ht="13" x14ac:dyDescent="0.3">
      <c r="A1" s="11" t="s">
        <v>642</v>
      </c>
      <c r="F1" s="43"/>
      <c r="G1" s="34"/>
      <c r="N1" s="613" t="s">
        <v>239</v>
      </c>
      <c r="O1" s="613"/>
    </row>
    <row r="2" spans="1:38" ht="18.649999999999999" customHeight="1" x14ac:dyDescent="0.25">
      <c r="A2" s="609" t="s">
        <v>468</v>
      </c>
      <c r="B2" s="612">
        <v>45658</v>
      </c>
      <c r="C2" s="612"/>
      <c r="D2" s="612">
        <v>45995</v>
      </c>
      <c r="E2" s="612"/>
      <c r="F2" s="614">
        <v>46023</v>
      </c>
      <c r="G2" s="615"/>
      <c r="H2" s="615"/>
      <c r="I2" s="615"/>
      <c r="J2" s="616"/>
      <c r="K2" s="586" t="s">
        <v>233</v>
      </c>
      <c r="L2" s="586" t="s">
        <v>625</v>
      </c>
      <c r="M2" s="541"/>
    </row>
    <row r="3" spans="1:38" s="31" customFormat="1" ht="27.65" customHeight="1" x14ac:dyDescent="0.25">
      <c r="A3" s="610"/>
      <c r="B3" s="542" t="s">
        <v>624</v>
      </c>
      <c r="C3" s="543" t="s">
        <v>234</v>
      </c>
      <c r="D3" s="542" t="s">
        <v>624</v>
      </c>
      <c r="E3" s="543" t="s">
        <v>234</v>
      </c>
      <c r="F3" s="542" t="s">
        <v>298</v>
      </c>
      <c r="G3" s="542" t="s">
        <v>297</v>
      </c>
      <c r="H3" s="542" t="s">
        <v>641</v>
      </c>
      <c r="I3" s="543" t="s">
        <v>640</v>
      </c>
      <c r="J3" s="544" t="s">
        <v>639</v>
      </c>
      <c r="K3" s="587"/>
      <c r="L3" s="587"/>
      <c r="M3" s="541"/>
      <c r="U3" s="157"/>
      <c r="V3" s="157"/>
      <c r="W3" s="157"/>
      <c r="X3" s="157"/>
      <c r="AE3" s="157"/>
    </row>
    <row r="4" spans="1:38" s="30" customFormat="1" x14ac:dyDescent="0.25">
      <c r="A4" s="56" t="s">
        <v>465</v>
      </c>
      <c r="B4" s="45">
        <v>1403.11970395</v>
      </c>
      <c r="C4" s="545">
        <f t="shared" ref="C4:C67" si="0">(B4/$B$234)*100</f>
        <v>13.838100397760567</v>
      </c>
      <c r="D4" s="45">
        <v>1801.4411959700001</v>
      </c>
      <c r="E4" s="545">
        <f t="shared" ref="E4:E67" si="1">(D4/$D$234)*100</f>
        <v>16.81175129097846</v>
      </c>
      <c r="F4" s="45">
        <v>3003.9171540799998</v>
      </c>
      <c r="G4" s="45"/>
      <c r="H4" s="494">
        <f t="shared" ref="H4:H67" si="2">F4+G4</f>
        <v>3003.9171540799998</v>
      </c>
      <c r="I4" s="545">
        <f t="shared" ref="I4:I67" si="3">(F4/$H$234)*100</f>
        <v>26.263638992551702</v>
      </c>
      <c r="J4" s="545">
        <f t="shared" ref="J4:J67" si="4">(G4/$H$234)*100</f>
        <v>0</v>
      </c>
      <c r="K4" s="494">
        <f>((H4/D4)-1)*100</f>
        <v>66.750774923991756</v>
      </c>
      <c r="L4" s="546">
        <f>((H4/B4)-1)*100</f>
        <v>114.0884448863134</v>
      </c>
      <c r="M4" s="327"/>
      <c r="O4" s="547"/>
      <c r="T4" s="33"/>
      <c r="U4" s="189"/>
      <c r="V4" s="189"/>
      <c r="W4" s="189"/>
      <c r="X4" s="189"/>
      <c r="AE4" s="17"/>
      <c r="AL4" s="548"/>
    </row>
    <row r="5" spans="1:38" s="30" customFormat="1" x14ac:dyDescent="0.25">
      <c r="A5" s="21" t="s">
        <v>462</v>
      </c>
      <c r="B5" s="46">
        <v>1822.9927774600001</v>
      </c>
      <c r="C5" s="545">
        <f t="shared" si="0"/>
        <v>17.979048407535455</v>
      </c>
      <c r="D5" s="46">
        <v>1931.1609330699998</v>
      </c>
      <c r="E5" s="545">
        <f t="shared" si="1"/>
        <v>18.022346431433228</v>
      </c>
      <c r="F5" s="46">
        <v>1806.82536009</v>
      </c>
      <c r="G5" s="46"/>
      <c r="H5" s="494">
        <f t="shared" si="2"/>
        <v>1806.82536009</v>
      </c>
      <c r="I5" s="545">
        <f t="shared" si="3"/>
        <v>15.797309494883367</v>
      </c>
      <c r="J5" s="545">
        <f t="shared" si="4"/>
        <v>0</v>
      </c>
      <c r="K5" s="494">
        <f t="shared" ref="K5:K68" si="5">((H5/D5)-1)*100</f>
        <v>-6.4383848518694613</v>
      </c>
      <c r="L5" s="546">
        <f t="shared" ref="L5:L68" si="6">((H5/B5)-1)*100</f>
        <v>-0.88686129588106954</v>
      </c>
      <c r="M5" s="327"/>
      <c r="T5" s="33"/>
      <c r="U5" s="189"/>
      <c r="V5" s="189"/>
      <c r="W5" s="189"/>
      <c r="X5" s="189"/>
      <c r="AE5" s="17"/>
      <c r="AL5" s="548"/>
    </row>
    <row r="6" spans="1:38" s="30" customFormat="1" x14ac:dyDescent="0.25">
      <c r="A6" s="21" t="s">
        <v>466</v>
      </c>
      <c r="B6" s="46">
        <v>1244.3494693000002</v>
      </c>
      <c r="C6" s="545">
        <f t="shared" si="0"/>
        <v>12.272247932658992</v>
      </c>
      <c r="D6" s="46">
        <v>828.16520183000011</v>
      </c>
      <c r="E6" s="545">
        <f t="shared" si="1"/>
        <v>7.7287604125829068</v>
      </c>
      <c r="F6" s="46">
        <v>1380.6858656700003</v>
      </c>
      <c r="G6" s="46">
        <v>3.2053323300000001</v>
      </c>
      <c r="H6" s="494">
        <f t="shared" si="2"/>
        <v>1383.8911980000003</v>
      </c>
      <c r="I6" s="545">
        <f t="shared" si="3"/>
        <v>12.071516382808307</v>
      </c>
      <c r="J6" s="545">
        <f t="shared" si="4"/>
        <v>2.8024638113582488E-2</v>
      </c>
      <c r="K6" s="494">
        <f t="shared" si="5"/>
        <v>67.103277817277302</v>
      </c>
      <c r="L6" s="546">
        <f t="shared" si="6"/>
        <v>11.214030474774761</v>
      </c>
      <c r="M6" s="327"/>
      <c r="P6" s="549"/>
      <c r="T6" s="33"/>
      <c r="U6" s="189"/>
      <c r="V6" s="189"/>
      <c r="W6" s="189"/>
      <c r="X6" s="189"/>
      <c r="AE6" s="17"/>
      <c r="AL6" s="548"/>
    </row>
    <row r="7" spans="1:38" s="30" customFormat="1" x14ac:dyDescent="0.25">
      <c r="A7" s="21" t="s">
        <v>464</v>
      </c>
      <c r="B7" s="46">
        <v>954.23408352000013</v>
      </c>
      <c r="C7" s="545">
        <f t="shared" si="0"/>
        <v>9.4110196111858997</v>
      </c>
      <c r="D7" s="46">
        <v>1871.3305839499997</v>
      </c>
      <c r="E7" s="545">
        <f t="shared" si="1"/>
        <v>17.463986296610042</v>
      </c>
      <c r="F7" s="46">
        <v>635.76395304999994</v>
      </c>
      <c r="G7" s="46">
        <v>150.49132609</v>
      </c>
      <c r="H7" s="494">
        <f t="shared" si="2"/>
        <v>786.25527913999997</v>
      </c>
      <c r="I7" s="545">
        <f t="shared" si="3"/>
        <v>5.5585670612466247</v>
      </c>
      <c r="J7" s="545">
        <f t="shared" si="4"/>
        <v>1.3157652682164738</v>
      </c>
      <c r="K7" s="494">
        <f t="shared" si="5"/>
        <v>-57.984159192205666</v>
      </c>
      <c r="L7" s="546">
        <f t="shared" si="6"/>
        <v>-17.6035217438845</v>
      </c>
      <c r="M7" s="327"/>
      <c r="T7" s="33"/>
      <c r="U7" s="189"/>
      <c r="V7" s="189"/>
      <c r="W7" s="189"/>
      <c r="X7" s="189"/>
      <c r="AE7" s="17"/>
      <c r="AL7" s="548"/>
    </row>
    <row r="8" spans="1:38" s="30" customFormat="1" x14ac:dyDescent="0.25">
      <c r="A8" s="21" t="s">
        <v>732</v>
      </c>
      <c r="B8" s="46">
        <v>304.20224554000004</v>
      </c>
      <c r="C8" s="545">
        <f t="shared" si="0"/>
        <v>3.0001582923795502</v>
      </c>
      <c r="D8" s="46">
        <v>533.43348568999977</v>
      </c>
      <c r="E8" s="545">
        <f t="shared" si="1"/>
        <v>4.9782091759432259</v>
      </c>
      <c r="F8" s="46">
        <v>382.87538253999998</v>
      </c>
      <c r="G8" s="46">
        <v>334.89987481999998</v>
      </c>
      <c r="H8" s="494">
        <f t="shared" si="2"/>
        <v>717.77525735999996</v>
      </c>
      <c r="I8" s="545">
        <f t="shared" si="3"/>
        <v>3.347529345976727</v>
      </c>
      <c r="J8" s="545">
        <f t="shared" si="4"/>
        <v>2.9280732323049246</v>
      </c>
      <c r="K8" s="494">
        <f t="shared" si="5"/>
        <v>34.557592767456825</v>
      </c>
      <c r="L8" s="546">
        <f t="shared" si="6"/>
        <v>135.95330668445658</v>
      </c>
      <c r="M8" s="327"/>
      <c r="N8" s="327"/>
      <c r="O8" s="611"/>
      <c r="P8" s="611"/>
      <c r="T8" s="33"/>
      <c r="U8" s="189"/>
      <c r="V8" s="189"/>
      <c r="W8" s="189"/>
      <c r="X8" s="189"/>
      <c r="AE8" s="17"/>
      <c r="AL8" s="548"/>
    </row>
    <row r="9" spans="1:38" s="30" customFormat="1" x14ac:dyDescent="0.25">
      <c r="A9" s="21" t="s">
        <v>970</v>
      </c>
      <c r="B9" s="46">
        <v>295.74578007999997</v>
      </c>
      <c r="C9" s="545">
        <f t="shared" si="0"/>
        <v>2.9167574123860316</v>
      </c>
      <c r="D9" s="46">
        <v>351.76126906000002</v>
      </c>
      <c r="E9" s="545">
        <f t="shared" si="1"/>
        <v>3.282773249809793</v>
      </c>
      <c r="F9" s="46"/>
      <c r="G9" s="46">
        <v>651.99157874999992</v>
      </c>
      <c r="H9" s="494">
        <f t="shared" si="2"/>
        <v>651.99157874999992</v>
      </c>
      <c r="I9" s="545">
        <f t="shared" si="3"/>
        <v>0</v>
      </c>
      <c r="J9" s="545">
        <f t="shared" si="4"/>
        <v>5.7004473066828822</v>
      </c>
      <c r="K9" s="494">
        <f t="shared" si="5"/>
        <v>85.350587485738671</v>
      </c>
      <c r="L9" s="546">
        <f t="shared" si="6"/>
        <v>120.45676478414489</v>
      </c>
      <c r="M9" s="327"/>
      <c r="N9" s="327"/>
      <c r="T9" s="33"/>
      <c r="U9" s="189"/>
      <c r="V9" s="189"/>
      <c r="W9" s="189"/>
      <c r="X9" s="189"/>
      <c r="AE9" s="17"/>
      <c r="AL9" s="548"/>
    </row>
    <row r="10" spans="1:38" s="30" customFormat="1" x14ac:dyDescent="0.25">
      <c r="A10" s="21" t="s">
        <v>733</v>
      </c>
      <c r="B10" s="46">
        <v>199.29167630000001</v>
      </c>
      <c r="C10" s="545">
        <f t="shared" si="0"/>
        <v>1.9654903407839783</v>
      </c>
      <c r="D10" s="46">
        <v>808.47910996999997</v>
      </c>
      <c r="E10" s="545">
        <f t="shared" si="1"/>
        <v>7.5450421313633678</v>
      </c>
      <c r="F10" s="46">
        <v>534.37696572999982</v>
      </c>
      <c r="G10" s="46"/>
      <c r="H10" s="494">
        <f t="shared" si="2"/>
        <v>534.37696572999982</v>
      </c>
      <c r="I10" s="545">
        <f t="shared" si="3"/>
        <v>4.6721274236227215</v>
      </c>
      <c r="J10" s="545">
        <f t="shared" si="4"/>
        <v>0</v>
      </c>
      <c r="K10" s="494">
        <f t="shared" si="5"/>
        <v>-33.903429397226006</v>
      </c>
      <c r="L10" s="546">
        <f t="shared" si="6"/>
        <v>168.13812581193076</v>
      </c>
      <c r="M10" s="327"/>
      <c r="N10" s="327"/>
      <c r="T10" s="33"/>
      <c r="U10" s="189"/>
      <c r="V10" s="189"/>
      <c r="W10" s="189"/>
      <c r="X10" s="189"/>
      <c r="AE10" s="17"/>
      <c r="AL10" s="548"/>
    </row>
    <row r="11" spans="1:38" s="30" customFormat="1" x14ac:dyDescent="0.25">
      <c r="A11" s="21" t="s">
        <v>979</v>
      </c>
      <c r="B11" s="46">
        <v>550.58193399999993</v>
      </c>
      <c r="C11" s="545">
        <f t="shared" si="0"/>
        <v>5.4300485257505038</v>
      </c>
      <c r="D11" s="46">
        <v>417.70474013999996</v>
      </c>
      <c r="E11" s="545">
        <f t="shared" si="1"/>
        <v>3.8981834211442177</v>
      </c>
      <c r="F11" s="46">
        <v>85.569699800000024</v>
      </c>
      <c r="G11" s="46">
        <v>308.64184721999982</v>
      </c>
      <c r="H11" s="494">
        <f t="shared" si="2"/>
        <v>394.21154701999984</v>
      </c>
      <c r="I11" s="545">
        <f t="shared" si="3"/>
        <v>0.7481470323493391</v>
      </c>
      <c r="J11" s="545">
        <f t="shared" si="4"/>
        <v>2.6984958764160689</v>
      </c>
      <c r="K11" s="494">
        <f t="shared" si="5"/>
        <v>-5.62435396642279</v>
      </c>
      <c r="L11" s="546">
        <f t="shared" si="6"/>
        <v>-28.400929511791805</v>
      </c>
      <c r="M11" s="327"/>
      <c r="N11" s="327"/>
      <c r="T11" s="33"/>
      <c r="U11" s="189"/>
      <c r="V11" s="189"/>
      <c r="W11" s="189"/>
      <c r="X11" s="189"/>
      <c r="AE11" s="17"/>
      <c r="AL11" s="548"/>
    </row>
    <row r="12" spans="1:38" s="30" customFormat="1" x14ac:dyDescent="0.25">
      <c r="A12" s="21" t="s">
        <v>734</v>
      </c>
      <c r="B12" s="46">
        <v>59.90571013000001</v>
      </c>
      <c r="C12" s="545">
        <f t="shared" si="0"/>
        <v>0.59081290701311606</v>
      </c>
      <c r="D12" s="46">
        <v>11.059627879999999</v>
      </c>
      <c r="E12" s="545">
        <f t="shared" si="1"/>
        <v>0.10321275748843689</v>
      </c>
      <c r="F12" s="46">
        <v>18.405980679999999</v>
      </c>
      <c r="G12" s="46">
        <v>165.31811376000002</v>
      </c>
      <c r="H12" s="494">
        <f t="shared" si="2"/>
        <v>183.72409444000002</v>
      </c>
      <c r="I12" s="545">
        <f t="shared" si="3"/>
        <v>0.160925886796453</v>
      </c>
      <c r="J12" s="545">
        <f t="shared" si="4"/>
        <v>1.4453978042720026</v>
      </c>
      <c r="K12" s="494">
        <f t="shared" si="5"/>
        <v>1561.2140700705027</v>
      </c>
      <c r="L12" s="546">
        <f t="shared" si="6"/>
        <v>206.68878482753072</v>
      </c>
      <c r="M12" s="327"/>
      <c r="N12" s="327"/>
      <c r="T12" s="33"/>
      <c r="U12" s="189"/>
      <c r="V12" s="189"/>
      <c r="W12" s="189"/>
      <c r="X12" s="189"/>
      <c r="AE12" s="17"/>
      <c r="AL12" s="548"/>
    </row>
    <row r="13" spans="1:38" s="30" customFormat="1" x14ac:dyDescent="0.25">
      <c r="A13" s="21" t="s">
        <v>742</v>
      </c>
      <c r="B13" s="46">
        <v>148.96181704999998</v>
      </c>
      <c r="C13" s="545">
        <f t="shared" si="0"/>
        <v>1.4691181186948803</v>
      </c>
      <c r="D13" s="46">
        <v>131.80745893</v>
      </c>
      <c r="E13" s="545">
        <f t="shared" si="1"/>
        <v>1.2300785741906173</v>
      </c>
      <c r="F13" s="46">
        <v>6.5271839600000012</v>
      </c>
      <c r="G13" s="46">
        <v>172.12455420000003</v>
      </c>
      <c r="H13" s="494">
        <f t="shared" si="2"/>
        <v>178.65173816000004</v>
      </c>
      <c r="I13" s="545">
        <f t="shared" si="3"/>
        <v>5.7068019645806989E-2</v>
      </c>
      <c r="J13" s="545">
        <f t="shared" si="4"/>
        <v>1.5049073997006468</v>
      </c>
      <c r="K13" s="494">
        <f t="shared" si="5"/>
        <v>35.539930448760117</v>
      </c>
      <c r="L13" s="546">
        <f t="shared" si="6"/>
        <v>19.931229155209927</v>
      </c>
      <c r="M13" s="327"/>
      <c r="N13" s="327"/>
      <c r="T13" s="33"/>
      <c r="U13" s="189"/>
      <c r="V13" s="189"/>
      <c r="W13" s="189"/>
      <c r="X13" s="189"/>
      <c r="AE13" s="17"/>
      <c r="AL13" s="548"/>
    </row>
    <row r="14" spans="1:38" s="30" customFormat="1" x14ac:dyDescent="0.25">
      <c r="A14" s="21" t="s">
        <v>745</v>
      </c>
      <c r="B14" s="46">
        <v>326.52471267999994</v>
      </c>
      <c r="C14" s="545">
        <f t="shared" si="0"/>
        <v>3.2203109568595853</v>
      </c>
      <c r="D14" s="46">
        <v>151.55419900000004</v>
      </c>
      <c r="E14" s="545">
        <f t="shared" si="1"/>
        <v>1.4143628481414432</v>
      </c>
      <c r="F14" s="46">
        <v>4.9236500000000002E-2</v>
      </c>
      <c r="G14" s="46">
        <v>152.75957176999995</v>
      </c>
      <c r="H14" s="494">
        <f t="shared" si="2"/>
        <v>152.80880826999996</v>
      </c>
      <c r="I14" s="545">
        <f t="shared" si="3"/>
        <v>4.3048113344284778E-4</v>
      </c>
      <c r="J14" s="545">
        <f t="shared" si="4"/>
        <v>1.3355968356766552</v>
      </c>
      <c r="K14" s="494">
        <f t="shared" si="5"/>
        <v>0.8278287756315672</v>
      </c>
      <c r="L14" s="546">
        <f t="shared" si="6"/>
        <v>-53.201456938496626</v>
      </c>
      <c r="M14" s="327"/>
      <c r="N14" s="327"/>
      <c r="T14" s="33"/>
      <c r="U14" s="189"/>
      <c r="V14" s="189"/>
      <c r="W14" s="189"/>
      <c r="X14" s="189"/>
      <c r="AE14" s="17"/>
      <c r="AL14" s="548"/>
    </row>
    <row r="15" spans="1:38" s="30" customFormat="1" x14ac:dyDescent="0.25">
      <c r="A15" s="21" t="s">
        <v>925</v>
      </c>
      <c r="B15" s="46">
        <v>56.639534310000016</v>
      </c>
      <c r="C15" s="545">
        <f t="shared" si="0"/>
        <v>0.55860063831882056</v>
      </c>
      <c r="D15" s="46">
        <v>74.378744689999991</v>
      </c>
      <c r="E15" s="545">
        <f t="shared" si="1"/>
        <v>0.69413143202276839</v>
      </c>
      <c r="F15" s="46">
        <v>2.7201430600000003</v>
      </c>
      <c r="G15" s="46">
        <v>113.05950871</v>
      </c>
      <c r="H15" s="494">
        <f t="shared" si="2"/>
        <v>115.77965177</v>
      </c>
      <c r="I15" s="545">
        <f t="shared" si="3"/>
        <v>2.3782565121312368E-2</v>
      </c>
      <c r="J15" s="545">
        <f t="shared" si="4"/>
        <v>0.98849401269327264</v>
      </c>
      <c r="K15" s="494">
        <f t="shared" si="5"/>
        <v>55.662282621941372</v>
      </c>
      <c r="L15" s="546">
        <f t="shared" si="6"/>
        <v>104.41490767970257</v>
      </c>
      <c r="M15" s="327"/>
      <c r="N15" s="327"/>
      <c r="T15" s="33"/>
      <c r="U15" s="189"/>
      <c r="V15" s="189"/>
      <c r="W15" s="189"/>
      <c r="X15" s="189"/>
      <c r="AE15" s="17"/>
      <c r="AL15" s="548"/>
    </row>
    <row r="16" spans="1:38" s="30" customFormat="1" x14ac:dyDescent="0.25">
      <c r="A16" s="21" t="s">
        <v>736</v>
      </c>
      <c r="B16" s="46">
        <v>130.0132122</v>
      </c>
      <c r="C16" s="545">
        <f t="shared" si="0"/>
        <v>1.2822397678502426</v>
      </c>
      <c r="D16" s="46">
        <v>114.73694434000002</v>
      </c>
      <c r="E16" s="545">
        <f t="shared" si="1"/>
        <v>1.0707698793866385</v>
      </c>
      <c r="F16" s="46">
        <v>109.98271382000001</v>
      </c>
      <c r="G16" s="46"/>
      <c r="H16" s="494">
        <f t="shared" si="2"/>
        <v>109.98271382000001</v>
      </c>
      <c r="I16" s="545">
        <f t="shared" si="3"/>
        <v>0.96159319416193201</v>
      </c>
      <c r="J16" s="545">
        <f t="shared" si="4"/>
        <v>0</v>
      </c>
      <c r="K16" s="494">
        <f t="shared" si="5"/>
        <v>-4.1435917152471742</v>
      </c>
      <c r="L16" s="546">
        <f t="shared" si="6"/>
        <v>-15.406509877770702</v>
      </c>
      <c r="M16" s="327"/>
      <c r="N16" s="327"/>
      <c r="T16" s="33"/>
      <c r="U16" s="189"/>
      <c r="V16" s="189"/>
      <c r="W16" s="189"/>
      <c r="X16" s="189"/>
      <c r="AE16" s="17"/>
      <c r="AL16" s="548"/>
    </row>
    <row r="17" spans="1:38" s="30" customFormat="1" x14ac:dyDescent="0.25">
      <c r="A17" s="21" t="s">
        <v>735</v>
      </c>
      <c r="B17" s="46">
        <v>59.000029219999995</v>
      </c>
      <c r="C17" s="545">
        <f t="shared" si="0"/>
        <v>0.58188073727333312</v>
      </c>
      <c r="D17" s="46">
        <v>209.88800456999999</v>
      </c>
      <c r="E17" s="545">
        <f t="shared" si="1"/>
        <v>1.9587566553292881</v>
      </c>
      <c r="F17" s="46">
        <v>109.90639966000001</v>
      </c>
      <c r="G17" s="46"/>
      <c r="H17" s="494">
        <f t="shared" si="2"/>
        <v>109.90639966000001</v>
      </c>
      <c r="I17" s="545">
        <f t="shared" si="3"/>
        <v>0.96092596951975506</v>
      </c>
      <c r="J17" s="545">
        <f t="shared" si="4"/>
        <v>0</v>
      </c>
      <c r="K17" s="494">
        <f t="shared" si="5"/>
        <v>-47.635692718520751</v>
      </c>
      <c r="L17" s="546">
        <f t="shared" si="6"/>
        <v>86.281941065113287</v>
      </c>
      <c r="M17" s="327"/>
      <c r="N17" s="327"/>
      <c r="T17" s="33"/>
      <c r="U17" s="189"/>
      <c r="V17" s="189"/>
      <c r="W17" s="189"/>
      <c r="X17" s="189"/>
      <c r="AE17" s="17"/>
      <c r="AL17" s="548"/>
    </row>
    <row r="18" spans="1:38" s="30" customFormat="1" x14ac:dyDescent="0.25">
      <c r="A18" s="21" t="s">
        <v>737</v>
      </c>
      <c r="B18" s="46">
        <v>58.206876139999999</v>
      </c>
      <c r="C18" s="545">
        <f t="shared" si="0"/>
        <v>0.57405835980907649</v>
      </c>
      <c r="D18" s="46">
        <v>110.26615200000002</v>
      </c>
      <c r="E18" s="545">
        <f t="shared" si="1"/>
        <v>1.0290467029311228</v>
      </c>
      <c r="F18" s="46">
        <v>96.037142999999986</v>
      </c>
      <c r="G18" s="46"/>
      <c r="H18" s="494">
        <f t="shared" si="2"/>
        <v>96.037142999999986</v>
      </c>
      <c r="I18" s="545">
        <f t="shared" si="3"/>
        <v>0.83966525182035379</v>
      </c>
      <c r="J18" s="545">
        <f t="shared" si="4"/>
        <v>0</v>
      </c>
      <c r="K18" s="494">
        <f t="shared" si="5"/>
        <v>-12.904240097178722</v>
      </c>
      <c r="L18" s="546">
        <f t="shared" si="6"/>
        <v>64.992779837574673</v>
      </c>
      <c r="M18" s="327"/>
      <c r="N18" s="327"/>
      <c r="T18" s="33"/>
      <c r="U18" s="189"/>
      <c r="V18" s="189"/>
      <c r="W18" s="189"/>
      <c r="X18" s="189"/>
      <c r="AE18" s="17"/>
      <c r="AL18" s="548"/>
    </row>
    <row r="19" spans="1:38" s="30" customFormat="1" x14ac:dyDescent="0.25">
      <c r="A19" s="21" t="s">
        <v>972</v>
      </c>
      <c r="B19" s="46">
        <v>127.08244454000001</v>
      </c>
      <c r="C19" s="545">
        <f t="shared" si="0"/>
        <v>1.2533354220503672</v>
      </c>
      <c r="D19" s="46">
        <v>99.088002149999994</v>
      </c>
      <c r="E19" s="545">
        <f t="shared" si="1"/>
        <v>0.92472785222875542</v>
      </c>
      <c r="F19" s="46">
        <v>53.089759309999998</v>
      </c>
      <c r="G19" s="46">
        <v>34.877326939999996</v>
      </c>
      <c r="H19" s="494">
        <f t="shared" si="2"/>
        <v>87.967086249999994</v>
      </c>
      <c r="I19" s="545">
        <f t="shared" si="3"/>
        <v>0.46417068154675456</v>
      </c>
      <c r="J19" s="545">
        <f t="shared" si="4"/>
        <v>0.30493701283779245</v>
      </c>
      <c r="K19" s="494">
        <f t="shared" si="5"/>
        <v>-11.223271898413179</v>
      </c>
      <c r="L19" s="546">
        <f t="shared" si="6"/>
        <v>-30.779513591814968</v>
      </c>
      <c r="M19" s="327"/>
      <c r="N19" s="327"/>
      <c r="T19" s="33"/>
      <c r="U19" s="189"/>
      <c r="V19" s="189"/>
      <c r="W19" s="189"/>
      <c r="X19" s="189"/>
      <c r="AE19" s="17"/>
      <c r="AL19" s="548"/>
    </row>
    <row r="20" spans="1:38" s="30" customFormat="1" x14ac:dyDescent="0.25">
      <c r="A20" s="21" t="s">
        <v>956</v>
      </c>
      <c r="B20" s="46">
        <v>54.368751170000003</v>
      </c>
      <c r="C20" s="545">
        <f t="shared" si="0"/>
        <v>0.53620531097475954</v>
      </c>
      <c r="D20" s="46">
        <v>106.01809826999998</v>
      </c>
      <c r="E20" s="545">
        <f t="shared" si="1"/>
        <v>0.9894022099888935</v>
      </c>
      <c r="F20" s="46">
        <v>1.10244078</v>
      </c>
      <c r="G20" s="46">
        <v>73.795353150000011</v>
      </c>
      <c r="H20" s="494">
        <f t="shared" si="2"/>
        <v>74.897793930000006</v>
      </c>
      <c r="I20" s="545">
        <f t="shared" si="3"/>
        <v>9.6387833523507403E-3</v>
      </c>
      <c r="J20" s="545">
        <f t="shared" si="4"/>
        <v>0.6452023857672099</v>
      </c>
      <c r="K20" s="494">
        <f t="shared" si="5"/>
        <v>-29.353765864338378</v>
      </c>
      <c r="L20" s="546">
        <f t="shared" si="6"/>
        <v>37.758900688761223</v>
      </c>
      <c r="M20" s="327"/>
      <c r="N20" s="327"/>
      <c r="T20" s="33"/>
      <c r="U20" s="189"/>
      <c r="V20" s="189"/>
      <c r="W20" s="189"/>
      <c r="X20" s="189"/>
      <c r="AE20" s="17"/>
      <c r="AL20" s="548"/>
    </row>
    <row r="21" spans="1:38" s="30" customFormat="1" x14ac:dyDescent="0.25">
      <c r="A21" s="21" t="s">
        <v>738</v>
      </c>
      <c r="B21" s="46">
        <v>89.936240399999988</v>
      </c>
      <c r="C21" s="545">
        <f t="shared" si="0"/>
        <v>0.8869854229462657</v>
      </c>
      <c r="D21" s="46">
        <v>95.509415700000005</v>
      </c>
      <c r="E21" s="545">
        <f t="shared" si="1"/>
        <v>0.8913310888454965</v>
      </c>
      <c r="F21" s="46">
        <v>64.930233580000007</v>
      </c>
      <c r="G21" s="46"/>
      <c r="H21" s="494">
        <f t="shared" si="2"/>
        <v>64.930233580000007</v>
      </c>
      <c r="I21" s="545">
        <f t="shared" si="3"/>
        <v>0.56769349052485985</v>
      </c>
      <c r="J21" s="545">
        <f t="shared" si="4"/>
        <v>0</v>
      </c>
      <c r="K21" s="494">
        <f t="shared" si="5"/>
        <v>-32.01692932145118</v>
      </c>
      <c r="L21" s="546">
        <f t="shared" si="6"/>
        <v>-27.804149593960549</v>
      </c>
      <c r="M21" s="327"/>
      <c r="N21" s="327"/>
      <c r="T21" s="33"/>
      <c r="U21" s="189"/>
      <c r="V21" s="189"/>
      <c r="W21" s="189"/>
      <c r="X21" s="189"/>
      <c r="AE21" s="17"/>
      <c r="AL21" s="548"/>
    </row>
    <row r="22" spans="1:38" s="30" customFormat="1" x14ac:dyDescent="0.25">
      <c r="A22" s="21" t="s">
        <v>749</v>
      </c>
      <c r="B22" s="46">
        <v>1.8852527200000002</v>
      </c>
      <c r="C22" s="545">
        <f t="shared" si="0"/>
        <v>1.8593079650345248E-2</v>
      </c>
      <c r="D22" s="46">
        <v>1.8791066900000002</v>
      </c>
      <c r="E22" s="545">
        <f t="shared" si="1"/>
        <v>1.7536555948740422E-2</v>
      </c>
      <c r="F22" s="46">
        <v>53.861805580000002</v>
      </c>
      <c r="G22" s="46">
        <v>6.2953049999999997E-2</v>
      </c>
      <c r="H22" s="494">
        <f t="shared" si="2"/>
        <v>53.924758629999999</v>
      </c>
      <c r="I22" s="545">
        <f t="shared" si="3"/>
        <v>0.47092078265832671</v>
      </c>
      <c r="J22" s="545">
        <f t="shared" si="4"/>
        <v>5.5040671692107006E-4</v>
      </c>
      <c r="K22" s="494">
        <f t="shared" si="5"/>
        <v>2769.7018065536236</v>
      </c>
      <c r="L22" s="546">
        <f t="shared" si="6"/>
        <v>2760.3464171105925</v>
      </c>
      <c r="M22" s="327"/>
      <c r="N22" s="327"/>
      <c r="T22" s="33"/>
      <c r="U22" s="189"/>
      <c r="V22" s="189"/>
      <c r="W22" s="189"/>
      <c r="X22" s="189"/>
      <c r="AE22" s="17"/>
      <c r="AL22" s="548"/>
    </row>
    <row r="23" spans="1:38" s="30" customFormat="1" x14ac:dyDescent="0.25">
      <c r="A23" s="21" t="s">
        <v>747</v>
      </c>
      <c r="B23" s="46">
        <v>137.96252676999993</v>
      </c>
      <c r="C23" s="545">
        <f t="shared" si="0"/>
        <v>1.360638932799151</v>
      </c>
      <c r="D23" s="46">
        <v>59.690664550000001</v>
      </c>
      <c r="E23" s="545">
        <f t="shared" si="1"/>
        <v>0.55705654397865578</v>
      </c>
      <c r="F23" s="46">
        <v>45.607354920000006</v>
      </c>
      <c r="G23" s="46">
        <v>5.8086683999999984</v>
      </c>
      <c r="H23" s="494">
        <f t="shared" si="2"/>
        <v>51.416023320000008</v>
      </c>
      <c r="I23" s="545">
        <f t="shared" si="3"/>
        <v>0.39875104524675481</v>
      </c>
      <c r="J23" s="545">
        <f t="shared" si="4"/>
        <v>5.0785944505106019E-2</v>
      </c>
      <c r="K23" s="494">
        <f t="shared" si="5"/>
        <v>-13.862538292011683</v>
      </c>
      <c r="L23" s="546">
        <f t="shared" si="6"/>
        <v>-62.731892113199208</v>
      </c>
      <c r="M23" s="327"/>
      <c r="N23" s="327"/>
      <c r="T23" s="33"/>
      <c r="U23" s="189"/>
      <c r="V23" s="189"/>
      <c r="W23" s="189"/>
      <c r="X23" s="189"/>
      <c r="AE23" s="17"/>
      <c r="AL23" s="548"/>
    </row>
    <row r="24" spans="1:38" s="30" customFormat="1" x14ac:dyDescent="0.25">
      <c r="A24" s="21" t="s">
        <v>939</v>
      </c>
      <c r="B24" s="46">
        <v>69.586007969999997</v>
      </c>
      <c r="C24" s="545">
        <f t="shared" si="0"/>
        <v>0.68628368759800495</v>
      </c>
      <c r="D24" s="46">
        <v>50.859757630000011</v>
      </c>
      <c r="E24" s="545">
        <f t="shared" si="1"/>
        <v>0.47464307905682168</v>
      </c>
      <c r="F24" s="46">
        <v>10.662473879999999</v>
      </c>
      <c r="G24" s="46">
        <v>34.625348370000005</v>
      </c>
      <c r="H24" s="494">
        <f t="shared" si="2"/>
        <v>45.287822250000005</v>
      </c>
      <c r="I24" s="545">
        <f t="shared" si="3"/>
        <v>9.3223398112521366E-2</v>
      </c>
      <c r="J24" s="545">
        <f t="shared" si="4"/>
        <v>0.30273393137552557</v>
      </c>
      <c r="K24" s="494">
        <f t="shared" si="5"/>
        <v>-10.955489447148603</v>
      </c>
      <c r="L24" s="546">
        <f t="shared" si="6"/>
        <v>-34.918206157875098</v>
      </c>
      <c r="M24" s="327"/>
      <c r="N24" s="327"/>
      <c r="T24" s="33"/>
      <c r="U24" s="189"/>
      <c r="V24" s="189"/>
      <c r="W24" s="189"/>
      <c r="X24" s="189"/>
      <c r="AE24" s="17"/>
      <c r="AL24" s="548"/>
    </row>
    <row r="25" spans="1:38" s="30" customFormat="1" x14ac:dyDescent="0.25">
      <c r="A25" s="21" t="s">
        <v>739</v>
      </c>
      <c r="B25" s="46">
        <v>4.7540000000000004E-3</v>
      </c>
      <c r="C25" s="545">
        <f t="shared" si="0"/>
        <v>4.6885756864332393E-5</v>
      </c>
      <c r="D25" s="46">
        <v>2.1950000000000001E-2</v>
      </c>
      <c r="E25" s="545">
        <f t="shared" si="1"/>
        <v>2.0484595426290149E-4</v>
      </c>
      <c r="F25" s="46">
        <v>8.3964299999999999E-3</v>
      </c>
      <c r="G25" s="46">
        <v>45.222053619999997</v>
      </c>
      <c r="H25" s="494">
        <f t="shared" si="2"/>
        <v>45.230450049999995</v>
      </c>
      <c r="I25" s="545">
        <f t="shared" si="3"/>
        <v>7.3411081276563732E-5</v>
      </c>
      <c r="J25" s="545">
        <f t="shared" si="4"/>
        <v>0.39538230578840566</v>
      </c>
      <c r="K25" s="494">
        <f t="shared" si="5"/>
        <v>205961.27585421409</v>
      </c>
      <c r="L25" s="546">
        <f t="shared" si="6"/>
        <v>951318.8062684054</v>
      </c>
      <c r="M25" s="327"/>
      <c r="N25" s="327"/>
      <c r="T25" s="33"/>
      <c r="U25" s="189"/>
      <c r="V25" s="189"/>
      <c r="W25" s="189"/>
      <c r="X25" s="189"/>
      <c r="AE25" s="17"/>
      <c r="AL25" s="548"/>
    </row>
    <row r="26" spans="1:38" s="30" customFormat="1" x14ac:dyDescent="0.25">
      <c r="A26" s="21" t="s">
        <v>917</v>
      </c>
      <c r="B26" s="46">
        <v>38.48592876</v>
      </c>
      <c r="C26" s="545">
        <f t="shared" si="0"/>
        <v>0.37956287306255304</v>
      </c>
      <c r="D26" s="46">
        <v>59.200240049999998</v>
      </c>
      <c r="E26" s="545">
        <f t="shared" si="1"/>
        <v>0.55247971141845509</v>
      </c>
      <c r="F26" s="46">
        <v>3.39093526</v>
      </c>
      <c r="G26" s="46">
        <v>39.002206899999997</v>
      </c>
      <c r="H26" s="494">
        <f t="shared" si="2"/>
        <v>42.393142159999996</v>
      </c>
      <c r="I26" s="545">
        <f t="shared" si="3"/>
        <v>2.9647388708704273E-2</v>
      </c>
      <c r="J26" s="545">
        <f t="shared" si="4"/>
        <v>0.34100137566814165</v>
      </c>
      <c r="K26" s="494">
        <f t="shared" si="5"/>
        <v>-28.390252937834159</v>
      </c>
      <c r="L26" s="546">
        <f t="shared" si="6"/>
        <v>10.152316771060811</v>
      </c>
      <c r="M26" s="327"/>
      <c r="N26" s="327"/>
      <c r="T26" s="33"/>
      <c r="U26" s="189"/>
      <c r="V26" s="189"/>
      <c r="W26" s="189"/>
      <c r="X26" s="189"/>
      <c r="AE26" s="17"/>
      <c r="AL26" s="548"/>
    </row>
    <row r="27" spans="1:38" s="30" customFormat="1" x14ac:dyDescent="0.25">
      <c r="A27" s="21" t="s">
        <v>741</v>
      </c>
      <c r="B27" s="46">
        <v>93.553699890000019</v>
      </c>
      <c r="C27" s="545">
        <f t="shared" si="0"/>
        <v>0.92266218485512419</v>
      </c>
      <c r="D27" s="46">
        <v>66.040450670000027</v>
      </c>
      <c r="E27" s="545">
        <f t="shared" si="1"/>
        <v>0.61631522266278937</v>
      </c>
      <c r="F27" s="46">
        <v>41.956691549999995</v>
      </c>
      <c r="G27" s="46"/>
      <c r="H27" s="494">
        <f t="shared" si="2"/>
        <v>41.956691549999995</v>
      </c>
      <c r="I27" s="545">
        <f t="shared" si="3"/>
        <v>0.366832819838046</v>
      </c>
      <c r="J27" s="545">
        <f t="shared" si="4"/>
        <v>0</v>
      </c>
      <c r="K27" s="494">
        <f t="shared" si="5"/>
        <v>-36.468193168979198</v>
      </c>
      <c r="L27" s="546">
        <f t="shared" si="6"/>
        <v>-55.152290503387391</v>
      </c>
      <c r="M27" s="327"/>
      <c r="N27" s="327"/>
      <c r="T27" s="33"/>
      <c r="U27" s="189"/>
      <c r="V27" s="189"/>
      <c r="W27" s="189"/>
      <c r="X27" s="189"/>
      <c r="AE27" s="17"/>
      <c r="AL27" s="548"/>
    </row>
    <row r="28" spans="1:38" s="30" customFormat="1" x14ac:dyDescent="0.25">
      <c r="A28" s="21" t="s">
        <v>754</v>
      </c>
      <c r="B28" s="46">
        <v>47.518141550000003</v>
      </c>
      <c r="C28" s="545">
        <f t="shared" si="0"/>
        <v>0.46864199229243386</v>
      </c>
      <c r="D28" s="46">
        <v>68.963921739999975</v>
      </c>
      <c r="E28" s="545">
        <f t="shared" si="1"/>
        <v>0.64359819401104112</v>
      </c>
      <c r="F28" s="46">
        <v>8.328576E-2</v>
      </c>
      <c r="G28" s="46">
        <v>41.67558809999997</v>
      </c>
      <c r="H28" s="494">
        <f t="shared" si="2"/>
        <v>41.758873859999973</v>
      </c>
      <c r="I28" s="545">
        <f t="shared" si="3"/>
        <v>7.2817824915355467E-4</v>
      </c>
      <c r="J28" s="545">
        <f t="shared" si="4"/>
        <v>0.36437509575589749</v>
      </c>
      <c r="K28" s="494">
        <f t="shared" si="5"/>
        <v>-39.448232051775442</v>
      </c>
      <c r="L28" s="546">
        <f t="shared" si="6"/>
        <v>-12.120145069099465</v>
      </c>
      <c r="M28" s="327"/>
      <c r="N28" s="327"/>
      <c r="T28" s="33"/>
      <c r="U28" s="189"/>
      <c r="V28" s="189"/>
      <c r="W28" s="189"/>
      <c r="X28" s="189"/>
      <c r="AE28" s="17"/>
      <c r="AL28" s="548"/>
    </row>
    <row r="29" spans="1:38" s="30" customFormat="1" x14ac:dyDescent="0.25">
      <c r="A29" s="21" t="s">
        <v>740</v>
      </c>
      <c r="B29" s="46">
        <v>63.703948879999999</v>
      </c>
      <c r="C29" s="545">
        <f t="shared" si="0"/>
        <v>0.62827258276936038</v>
      </c>
      <c r="D29" s="46">
        <v>18.359664989999999</v>
      </c>
      <c r="E29" s="545">
        <f t="shared" si="1"/>
        <v>0.17133954873912227</v>
      </c>
      <c r="F29" s="46">
        <v>40.749742529999999</v>
      </c>
      <c r="G29" s="46"/>
      <c r="H29" s="494">
        <f t="shared" si="2"/>
        <v>40.749742529999999</v>
      </c>
      <c r="I29" s="545">
        <f t="shared" si="3"/>
        <v>0.35628030732929067</v>
      </c>
      <c r="J29" s="545">
        <f t="shared" si="4"/>
        <v>0</v>
      </c>
      <c r="K29" s="494">
        <f t="shared" si="5"/>
        <v>121.95253863398517</v>
      </c>
      <c r="L29" s="546">
        <f t="shared" si="6"/>
        <v>-36.032627103288604</v>
      </c>
      <c r="M29" s="327"/>
      <c r="N29" s="327"/>
      <c r="T29" s="33"/>
      <c r="U29" s="189"/>
      <c r="V29" s="189"/>
      <c r="W29" s="189"/>
      <c r="X29" s="189"/>
      <c r="AE29" s="17"/>
      <c r="AL29" s="548"/>
    </row>
    <row r="30" spans="1:38" s="30" customFormat="1" x14ac:dyDescent="0.25">
      <c r="A30" s="21" t="s">
        <v>950</v>
      </c>
      <c r="B30" s="46">
        <v>27.412676999999995</v>
      </c>
      <c r="C30" s="545">
        <f t="shared" si="0"/>
        <v>0.27035425090922932</v>
      </c>
      <c r="D30" s="46">
        <v>41.377566530000003</v>
      </c>
      <c r="E30" s="545">
        <f t="shared" si="1"/>
        <v>0.38615157635145986</v>
      </c>
      <c r="F30" s="46">
        <v>36.981388269999989</v>
      </c>
      <c r="G30" s="46">
        <v>2.01995E-3</v>
      </c>
      <c r="H30" s="494">
        <f t="shared" si="2"/>
        <v>36.983408219999987</v>
      </c>
      <c r="I30" s="545">
        <f t="shared" si="3"/>
        <v>0.32333309513794911</v>
      </c>
      <c r="J30" s="545">
        <f t="shared" si="4"/>
        <v>1.7660685984947761E-5</v>
      </c>
      <c r="K30" s="494">
        <f t="shared" si="5"/>
        <v>-10.619663451725991</v>
      </c>
      <c r="L30" s="546">
        <f t="shared" si="6"/>
        <v>34.913522747158154</v>
      </c>
      <c r="M30" s="327"/>
      <c r="N30" s="327"/>
      <c r="T30" s="33"/>
      <c r="U30" s="189"/>
      <c r="V30" s="189"/>
      <c r="W30" s="189"/>
      <c r="X30" s="189"/>
      <c r="AE30" s="17"/>
      <c r="AL30" s="548"/>
    </row>
    <row r="31" spans="1:38" s="30" customFormat="1" x14ac:dyDescent="0.25">
      <c r="A31" s="21" t="s">
        <v>748</v>
      </c>
      <c r="B31" s="46">
        <v>13.914773500000001</v>
      </c>
      <c r="C31" s="545">
        <f t="shared" si="0"/>
        <v>0.13723279073269992</v>
      </c>
      <c r="D31" s="46">
        <v>26.284355060000003</v>
      </c>
      <c r="E31" s="545">
        <f t="shared" si="1"/>
        <v>0.24529584484968675</v>
      </c>
      <c r="F31" s="46">
        <v>25.657577760000002</v>
      </c>
      <c r="G31" s="46">
        <v>11.150881960000001</v>
      </c>
      <c r="H31" s="494">
        <f t="shared" si="2"/>
        <v>36.808459720000002</v>
      </c>
      <c r="I31" s="545">
        <f t="shared" si="3"/>
        <v>0.2243275447183046</v>
      </c>
      <c r="J31" s="545">
        <f t="shared" si="4"/>
        <v>9.7493613579929625E-2</v>
      </c>
      <c r="K31" s="494">
        <f t="shared" si="5"/>
        <v>40.039425110398732</v>
      </c>
      <c r="L31" s="546">
        <f t="shared" si="6"/>
        <v>164.52791143168804</v>
      </c>
      <c r="M31" s="327"/>
      <c r="N31" s="327"/>
      <c r="T31" s="33"/>
      <c r="U31" s="189"/>
      <c r="V31" s="189"/>
      <c r="W31" s="189"/>
      <c r="X31" s="189"/>
      <c r="AE31" s="17"/>
      <c r="AL31" s="548"/>
    </row>
    <row r="32" spans="1:38" s="30" customFormat="1" x14ac:dyDescent="0.25">
      <c r="A32" s="21" t="s">
        <v>743</v>
      </c>
      <c r="B32" s="46">
        <v>70.119872810000004</v>
      </c>
      <c r="C32" s="545">
        <f t="shared" si="0"/>
        <v>0.69154886578198815</v>
      </c>
      <c r="D32" s="46">
        <v>35.28966509</v>
      </c>
      <c r="E32" s="545">
        <f t="shared" si="1"/>
        <v>0.32933690756169709</v>
      </c>
      <c r="F32" s="46">
        <v>35.628049139999995</v>
      </c>
      <c r="G32" s="46"/>
      <c r="H32" s="494">
        <f t="shared" si="2"/>
        <v>35.628049139999995</v>
      </c>
      <c r="I32" s="545">
        <f t="shared" si="3"/>
        <v>0.31150067482750959</v>
      </c>
      <c r="J32" s="545">
        <f t="shared" si="4"/>
        <v>0</v>
      </c>
      <c r="K32" s="494">
        <f t="shared" si="5"/>
        <v>0.95887577605797691</v>
      </c>
      <c r="L32" s="546">
        <f t="shared" si="6"/>
        <v>-49.189797824449307</v>
      </c>
      <c r="M32" s="327"/>
      <c r="N32" s="327"/>
      <c r="T32" s="33"/>
      <c r="U32" s="189"/>
      <c r="V32" s="189"/>
      <c r="W32" s="189"/>
      <c r="X32" s="189"/>
      <c r="AE32" s="17"/>
      <c r="AL32" s="548"/>
    </row>
    <row r="33" spans="1:38" s="30" customFormat="1" x14ac:dyDescent="0.25">
      <c r="A33" s="21" t="s">
        <v>746</v>
      </c>
      <c r="B33" s="46">
        <v>36.213875649999999</v>
      </c>
      <c r="C33" s="545">
        <f t="shared" si="0"/>
        <v>0.35715502079113731</v>
      </c>
      <c r="D33" s="46">
        <v>42.068196229999998</v>
      </c>
      <c r="E33" s="545">
        <f t="shared" si="1"/>
        <v>0.39259680186120016</v>
      </c>
      <c r="F33" s="46">
        <v>30.201393440000004</v>
      </c>
      <c r="G33" s="46"/>
      <c r="H33" s="494">
        <f t="shared" si="2"/>
        <v>30.201393440000004</v>
      </c>
      <c r="I33" s="545">
        <f t="shared" si="3"/>
        <v>0.26405471712255318</v>
      </c>
      <c r="J33" s="545">
        <f t="shared" si="4"/>
        <v>0</v>
      </c>
      <c r="K33" s="494">
        <f t="shared" si="5"/>
        <v>-28.208489675004056</v>
      </c>
      <c r="L33" s="546">
        <f t="shared" si="6"/>
        <v>-16.602702975261352</v>
      </c>
      <c r="M33" s="327"/>
      <c r="N33" s="327"/>
      <c r="T33" s="33"/>
      <c r="U33" s="189"/>
      <c r="V33" s="189"/>
      <c r="W33" s="189"/>
      <c r="X33" s="189"/>
      <c r="AE33" s="17"/>
      <c r="AL33" s="548"/>
    </row>
    <row r="34" spans="1:38" s="30" customFormat="1" x14ac:dyDescent="0.25">
      <c r="A34" s="21" t="s">
        <v>744</v>
      </c>
      <c r="B34" s="46">
        <v>21.748092109999998</v>
      </c>
      <c r="C34" s="545">
        <f t="shared" si="0"/>
        <v>0.21448795938842352</v>
      </c>
      <c r="D34" s="46">
        <v>25.954943180000001</v>
      </c>
      <c r="E34" s="545">
        <f t="shared" si="1"/>
        <v>0.24222164480849598</v>
      </c>
      <c r="F34" s="46">
        <v>27.680933969999998</v>
      </c>
      <c r="G34" s="46"/>
      <c r="H34" s="494">
        <f t="shared" si="2"/>
        <v>27.680933969999998</v>
      </c>
      <c r="I34" s="545">
        <f t="shared" si="3"/>
        <v>0.24201801164100267</v>
      </c>
      <c r="J34" s="545">
        <f t="shared" si="4"/>
        <v>0</v>
      </c>
      <c r="K34" s="494">
        <f t="shared" si="5"/>
        <v>6.6499501772363301</v>
      </c>
      <c r="L34" s="546">
        <f t="shared" si="6"/>
        <v>27.279826800402486</v>
      </c>
      <c r="M34" s="327"/>
      <c r="N34" s="327"/>
      <c r="T34" s="33"/>
      <c r="U34" s="189"/>
      <c r="V34" s="189"/>
      <c r="W34" s="189"/>
      <c r="X34" s="189"/>
      <c r="AE34" s="17"/>
      <c r="AL34" s="548"/>
    </row>
    <row r="35" spans="1:38" s="30" customFormat="1" x14ac:dyDescent="0.25">
      <c r="A35" s="21" t="s">
        <v>978</v>
      </c>
      <c r="B35" s="46">
        <v>103.69800850000001</v>
      </c>
      <c r="C35" s="545">
        <f t="shared" si="0"/>
        <v>1.0227092162066627</v>
      </c>
      <c r="D35" s="46">
        <v>83.896190440000012</v>
      </c>
      <c r="E35" s="545">
        <f t="shared" si="1"/>
        <v>0.78295194486122621</v>
      </c>
      <c r="F35" s="46">
        <v>0.60915216999999999</v>
      </c>
      <c r="G35" s="46">
        <v>27.001876920000001</v>
      </c>
      <c r="H35" s="494">
        <f t="shared" si="2"/>
        <v>27.611029090000002</v>
      </c>
      <c r="I35" s="545">
        <f t="shared" si="3"/>
        <v>5.3258967753753881E-3</v>
      </c>
      <c r="J35" s="545">
        <f t="shared" si="4"/>
        <v>0.23608092739341491</v>
      </c>
      <c r="K35" s="494">
        <f t="shared" si="5"/>
        <v>-67.089055003341812</v>
      </c>
      <c r="L35" s="546">
        <f t="shared" si="6"/>
        <v>-73.37361682312347</v>
      </c>
      <c r="M35" s="327"/>
      <c r="N35" s="327"/>
      <c r="T35" s="33"/>
      <c r="U35" s="189"/>
      <c r="V35" s="189"/>
      <c r="W35" s="189"/>
      <c r="X35" s="189"/>
      <c r="AE35" s="17"/>
      <c r="AL35" s="548"/>
    </row>
    <row r="36" spans="1:38" s="30" customFormat="1" x14ac:dyDescent="0.25">
      <c r="A36" s="21" t="s">
        <v>955</v>
      </c>
      <c r="B36" s="46">
        <v>13.192893140000002</v>
      </c>
      <c r="C36" s="545">
        <f t="shared" si="0"/>
        <v>0.13011333195186342</v>
      </c>
      <c r="D36" s="46">
        <v>19.880130949999998</v>
      </c>
      <c r="E36" s="545">
        <f t="shared" si="1"/>
        <v>0.18552912962752582</v>
      </c>
      <c r="F36" s="46">
        <v>25.517351180000016</v>
      </c>
      <c r="G36" s="46">
        <v>4.672142E-2</v>
      </c>
      <c r="H36" s="494">
        <f t="shared" si="2"/>
        <v>25.564072600000017</v>
      </c>
      <c r="I36" s="545">
        <f t="shared" si="3"/>
        <v>0.22310152546232156</v>
      </c>
      <c r="J36" s="545">
        <f t="shared" si="4"/>
        <v>4.0849146136828036E-4</v>
      </c>
      <c r="K36" s="494">
        <f t="shared" si="5"/>
        <v>28.591067454714224</v>
      </c>
      <c r="L36" s="546">
        <f t="shared" si="6"/>
        <v>93.771542971809538</v>
      </c>
      <c r="M36" s="327"/>
      <c r="N36" s="327"/>
      <c r="T36" s="33"/>
      <c r="U36" s="189"/>
      <c r="V36" s="189"/>
      <c r="W36" s="189"/>
      <c r="X36" s="189"/>
      <c r="AE36" s="17"/>
      <c r="AL36" s="548"/>
    </row>
    <row r="37" spans="1:38" s="30" customFormat="1" x14ac:dyDescent="0.25">
      <c r="A37" s="21" t="s">
        <v>943</v>
      </c>
      <c r="B37" s="46">
        <v>12.93676351</v>
      </c>
      <c r="C37" s="545">
        <f t="shared" si="0"/>
        <v>0.12758728408523923</v>
      </c>
      <c r="D37" s="46">
        <v>29.675133080000002</v>
      </c>
      <c r="E37" s="545">
        <f t="shared" si="1"/>
        <v>0.27693990677226399</v>
      </c>
      <c r="F37" s="46">
        <v>25.550402570000003</v>
      </c>
      <c r="G37" s="46"/>
      <c r="H37" s="494">
        <f t="shared" si="2"/>
        <v>25.550402570000003</v>
      </c>
      <c r="I37" s="545">
        <f t="shared" si="3"/>
        <v>0.22339049807063158</v>
      </c>
      <c r="J37" s="545">
        <f t="shared" si="4"/>
        <v>0</v>
      </c>
      <c r="K37" s="494">
        <f t="shared" si="5"/>
        <v>-13.89961924982882</v>
      </c>
      <c r="L37" s="546">
        <f t="shared" si="6"/>
        <v>97.502277522888733</v>
      </c>
      <c r="M37" s="327"/>
      <c r="N37" s="327"/>
      <c r="T37" s="33"/>
      <c r="U37" s="189"/>
      <c r="V37" s="189"/>
      <c r="W37" s="189"/>
      <c r="X37" s="189"/>
      <c r="AE37" s="17"/>
      <c r="AL37" s="548"/>
    </row>
    <row r="38" spans="1:38" s="30" customFormat="1" x14ac:dyDescent="0.25">
      <c r="A38" s="21" t="s">
        <v>954</v>
      </c>
      <c r="B38" s="46">
        <v>30.01092066</v>
      </c>
      <c r="C38" s="545">
        <f t="shared" si="0"/>
        <v>0.2959791184980079</v>
      </c>
      <c r="D38" s="46">
        <v>21.150243939999999</v>
      </c>
      <c r="E38" s="545">
        <f t="shared" si="1"/>
        <v>0.19738231903336897</v>
      </c>
      <c r="F38" s="46">
        <v>0.40426864000000012</v>
      </c>
      <c r="G38" s="46">
        <v>23.93647138</v>
      </c>
      <c r="H38" s="494">
        <f t="shared" si="2"/>
        <v>24.340740020000002</v>
      </c>
      <c r="I38" s="545">
        <f t="shared" si="3"/>
        <v>3.5345733828074425E-3</v>
      </c>
      <c r="J38" s="545">
        <f t="shared" si="4"/>
        <v>0.20927968743279249</v>
      </c>
      <c r="K38" s="494">
        <f t="shared" si="5"/>
        <v>15.084913862227545</v>
      </c>
      <c r="L38" s="546">
        <f t="shared" si="6"/>
        <v>-18.893724401989065</v>
      </c>
      <c r="M38" s="327"/>
      <c r="N38" s="327"/>
      <c r="T38" s="33"/>
      <c r="U38" s="189"/>
      <c r="V38" s="189"/>
      <c r="W38" s="189"/>
      <c r="X38" s="189"/>
      <c r="AE38" s="17"/>
      <c r="AL38" s="548"/>
    </row>
    <row r="39" spans="1:38" s="30" customFormat="1" x14ac:dyDescent="0.25">
      <c r="A39" s="21" t="s">
        <v>964</v>
      </c>
      <c r="B39" s="46">
        <v>34.943358700000005</v>
      </c>
      <c r="C39" s="545">
        <f t="shared" si="0"/>
        <v>0.3446246992072684</v>
      </c>
      <c r="D39" s="46">
        <v>5.9612998699999995</v>
      </c>
      <c r="E39" s="545">
        <f t="shared" si="1"/>
        <v>5.5633173599884303E-2</v>
      </c>
      <c r="F39" s="46">
        <v>5.2658199999999992E-3</v>
      </c>
      <c r="G39" s="46">
        <v>20.147737290000002</v>
      </c>
      <c r="H39" s="494">
        <f t="shared" si="2"/>
        <v>20.153003110000004</v>
      </c>
      <c r="I39" s="545">
        <f t="shared" si="3"/>
        <v>4.6039750228103468E-5</v>
      </c>
      <c r="J39" s="545">
        <f t="shared" si="4"/>
        <v>0.1761542917329203</v>
      </c>
      <c r="K39" s="494">
        <f t="shared" si="5"/>
        <v>238.06390467654842</v>
      </c>
      <c r="L39" s="546">
        <f t="shared" si="6"/>
        <v>-42.326657025101589</v>
      </c>
      <c r="M39" s="327"/>
      <c r="N39" s="327"/>
      <c r="T39" s="33"/>
      <c r="U39" s="189"/>
      <c r="V39" s="189"/>
      <c r="W39" s="189"/>
      <c r="X39" s="189"/>
      <c r="AE39" s="17"/>
      <c r="AL39" s="548"/>
    </row>
    <row r="40" spans="1:38" s="30" customFormat="1" x14ac:dyDescent="0.25">
      <c r="A40" s="21" t="s">
        <v>957</v>
      </c>
      <c r="B40" s="46">
        <v>14.74082907</v>
      </c>
      <c r="C40" s="545">
        <f t="shared" si="0"/>
        <v>0.14537966507250796</v>
      </c>
      <c r="D40" s="46">
        <v>19.889441479999999</v>
      </c>
      <c r="E40" s="545">
        <f t="shared" si="1"/>
        <v>0.18561601912194695</v>
      </c>
      <c r="F40" s="46">
        <v>9.3231079599999997</v>
      </c>
      <c r="G40" s="46">
        <v>10.68180312</v>
      </c>
      <c r="H40" s="494">
        <f t="shared" si="2"/>
        <v>20.004911079999999</v>
      </c>
      <c r="I40" s="545">
        <f t="shared" si="3"/>
        <v>8.1513147397374641E-2</v>
      </c>
      <c r="J40" s="545">
        <f t="shared" si="4"/>
        <v>9.3392396175823789E-2</v>
      </c>
      <c r="K40" s="494">
        <f t="shared" si="5"/>
        <v>0.58055727766972431</v>
      </c>
      <c r="L40" s="546">
        <f t="shared" si="6"/>
        <v>35.710895126742017</v>
      </c>
      <c r="M40" s="327"/>
      <c r="N40" s="327"/>
      <c r="T40" s="33"/>
      <c r="U40" s="189"/>
      <c r="V40" s="189"/>
      <c r="W40" s="189"/>
      <c r="X40" s="189"/>
      <c r="AE40" s="17"/>
      <c r="AL40" s="548"/>
    </row>
    <row r="41" spans="1:38" s="30" customFormat="1" x14ac:dyDescent="0.25">
      <c r="A41" s="21" t="s">
        <v>826</v>
      </c>
      <c r="B41" s="46">
        <v>0.80908601000000013</v>
      </c>
      <c r="C41" s="545">
        <f t="shared" si="0"/>
        <v>7.9795140822870869E-3</v>
      </c>
      <c r="D41" s="46">
        <v>0.66457196000000007</v>
      </c>
      <c r="E41" s="545">
        <f t="shared" si="1"/>
        <v>6.2020445249460964E-3</v>
      </c>
      <c r="F41" s="46">
        <v>17.708839609999998</v>
      </c>
      <c r="G41" s="46">
        <v>7.5133509999999987E-2</v>
      </c>
      <c r="H41" s="494">
        <f t="shared" si="2"/>
        <v>17.783973119999999</v>
      </c>
      <c r="I41" s="545">
        <f t="shared" si="3"/>
        <v>0.15483069160623517</v>
      </c>
      <c r="J41" s="545">
        <f t="shared" si="4"/>
        <v>6.5690206542584335E-4</v>
      </c>
      <c r="K41" s="494">
        <f t="shared" si="5"/>
        <v>2576.0041335478545</v>
      </c>
      <c r="L41" s="546">
        <f t="shared" si="6"/>
        <v>2098.0324588729441</v>
      </c>
      <c r="M41" s="327"/>
      <c r="N41" s="327"/>
      <c r="T41" s="33"/>
      <c r="U41" s="189"/>
      <c r="V41" s="189"/>
      <c r="W41" s="189"/>
      <c r="X41" s="189"/>
      <c r="AE41" s="17"/>
      <c r="AL41" s="548"/>
    </row>
    <row r="42" spans="1:38" s="30" customFormat="1" x14ac:dyDescent="0.25">
      <c r="A42" s="21" t="s">
        <v>948</v>
      </c>
      <c r="B42" s="46">
        <v>18.700870699999999</v>
      </c>
      <c r="C42" s="545">
        <f t="shared" si="0"/>
        <v>0.18443510239619632</v>
      </c>
      <c r="D42" s="46">
        <v>3.88799604</v>
      </c>
      <c r="E42" s="545">
        <f t="shared" si="1"/>
        <v>3.6284294258960459E-2</v>
      </c>
      <c r="F42" s="46">
        <v>14.566387989999997</v>
      </c>
      <c r="G42" s="46">
        <v>2.8454808699999998</v>
      </c>
      <c r="H42" s="494">
        <f t="shared" si="2"/>
        <v>17.411868859999998</v>
      </c>
      <c r="I42" s="545">
        <f t="shared" si="3"/>
        <v>0.12735582773153015</v>
      </c>
      <c r="J42" s="545">
        <f t="shared" si="4"/>
        <v>2.4878409921654476E-2</v>
      </c>
      <c r="K42" s="494">
        <f t="shared" si="5"/>
        <v>347.83658936031213</v>
      </c>
      <c r="L42" s="546">
        <f t="shared" si="6"/>
        <v>-6.8927370317575676</v>
      </c>
      <c r="M42" s="327"/>
      <c r="N42" s="327"/>
      <c r="T42" s="33"/>
      <c r="U42" s="189"/>
      <c r="V42" s="189"/>
      <c r="W42" s="189"/>
      <c r="X42" s="189"/>
      <c r="AE42" s="17"/>
      <c r="AL42" s="548"/>
    </row>
    <row r="43" spans="1:38" s="30" customFormat="1" x14ac:dyDescent="0.25">
      <c r="A43" s="21" t="s">
        <v>938</v>
      </c>
      <c r="B43" s="46">
        <v>85.622813460000003</v>
      </c>
      <c r="C43" s="545">
        <f t="shared" si="0"/>
        <v>0.84444476523467538</v>
      </c>
      <c r="D43" s="46">
        <v>17.21494422</v>
      </c>
      <c r="E43" s="545">
        <f t="shared" si="1"/>
        <v>0.16065656839765469</v>
      </c>
      <c r="F43" s="46">
        <v>0.32186263000000004</v>
      </c>
      <c r="G43" s="46">
        <v>14.337821040000001</v>
      </c>
      <c r="H43" s="494">
        <f t="shared" si="2"/>
        <v>14.659683670000001</v>
      </c>
      <c r="I43" s="545">
        <f t="shared" si="3"/>
        <v>2.8140869025072043E-3</v>
      </c>
      <c r="J43" s="545">
        <f t="shared" si="4"/>
        <v>0.1253574371127093</v>
      </c>
      <c r="K43" s="494">
        <f t="shared" si="5"/>
        <v>-14.843269413741956</v>
      </c>
      <c r="L43" s="546">
        <f t="shared" si="6"/>
        <v>-82.878764341411767</v>
      </c>
      <c r="M43" s="327"/>
      <c r="N43" s="327"/>
      <c r="T43" s="33"/>
      <c r="U43" s="189"/>
      <c r="V43" s="189"/>
      <c r="W43" s="189"/>
      <c r="X43" s="189"/>
      <c r="AE43" s="17"/>
      <c r="AL43" s="548"/>
    </row>
    <row r="44" spans="1:38" s="30" customFormat="1" x14ac:dyDescent="0.25">
      <c r="A44" s="21" t="s">
        <v>755</v>
      </c>
      <c r="B44" s="46">
        <v>28.20869665</v>
      </c>
      <c r="C44" s="545">
        <f t="shared" si="0"/>
        <v>0.2782048995775363</v>
      </c>
      <c r="D44" s="46">
        <v>10.303521300000002</v>
      </c>
      <c r="E44" s="545">
        <f t="shared" si="1"/>
        <v>9.6156476217158615E-2</v>
      </c>
      <c r="F44" s="46">
        <v>14.643370010000003</v>
      </c>
      <c r="G44" s="46"/>
      <c r="H44" s="494">
        <f t="shared" si="2"/>
        <v>14.643370010000003</v>
      </c>
      <c r="I44" s="545">
        <f t="shared" si="3"/>
        <v>0.12802889156068784</v>
      </c>
      <c r="J44" s="545">
        <f t="shared" si="4"/>
        <v>0</v>
      </c>
      <c r="K44" s="494">
        <f t="shared" si="5"/>
        <v>42.120053752885433</v>
      </c>
      <c r="L44" s="546">
        <f t="shared" si="6"/>
        <v>-48.089164871075305</v>
      </c>
      <c r="M44" s="327"/>
      <c r="N44" s="327"/>
      <c r="T44" s="33"/>
      <c r="U44" s="189"/>
      <c r="V44" s="189"/>
      <c r="W44" s="189"/>
      <c r="X44" s="189"/>
      <c r="AE44" s="17"/>
      <c r="AL44" s="548"/>
    </row>
    <row r="45" spans="1:38" s="30" customFormat="1" x14ac:dyDescent="0.25">
      <c r="A45" s="21" t="s">
        <v>973</v>
      </c>
      <c r="B45" s="46">
        <v>16.774909950000001</v>
      </c>
      <c r="C45" s="545">
        <f t="shared" si="0"/>
        <v>0.16544054466486541</v>
      </c>
      <c r="D45" s="46">
        <v>5.009121949999999</v>
      </c>
      <c r="E45" s="545">
        <f t="shared" si="1"/>
        <v>4.6747078171617121E-2</v>
      </c>
      <c r="F45" s="46">
        <v>3.576036129999999</v>
      </c>
      <c r="G45" s="46">
        <v>7.4126401499999997</v>
      </c>
      <c r="H45" s="494">
        <f t="shared" si="2"/>
        <v>10.988676279999998</v>
      </c>
      <c r="I45" s="545">
        <f t="shared" si="3"/>
        <v>3.1265749727843663E-2</v>
      </c>
      <c r="J45" s="545">
        <f t="shared" si="4"/>
        <v>6.4809678461628287E-2</v>
      </c>
      <c r="K45" s="494">
        <f t="shared" si="5"/>
        <v>119.37330313948537</v>
      </c>
      <c r="L45" s="546">
        <f t="shared" si="6"/>
        <v>-34.493381408583964</v>
      </c>
      <c r="M45" s="327"/>
      <c r="N45" s="327"/>
      <c r="T45" s="33"/>
      <c r="U45" s="189"/>
      <c r="V45" s="189"/>
      <c r="W45" s="189"/>
      <c r="X45" s="189"/>
      <c r="AE45" s="17"/>
      <c r="AL45" s="548"/>
    </row>
    <row r="46" spans="1:38" s="30" customFormat="1" x14ac:dyDescent="0.25">
      <c r="A46" s="21" t="s">
        <v>967</v>
      </c>
      <c r="B46" s="46">
        <v>3.9685631700000004</v>
      </c>
      <c r="C46" s="545">
        <f t="shared" si="0"/>
        <v>3.9139479993555784E-2</v>
      </c>
      <c r="D46" s="46">
        <v>8.5707369100000026</v>
      </c>
      <c r="E46" s="545">
        <f t="shared" si="1"/>
        <v>7.9985456996137683E-2</v>
      </c>
      <c r="F46" s="46">
        <v>10.427381249999998</v>
      </c>
      <c r="G46" s="46"/>
      <c r="H46" s="494">
        <f t="shared" si="2"/>
        <v>10.427381249999998</v>
      </c>
      <c r="I46" s="545">
        <f t="shared" si="3"/>
        <v>9.1167952623372864E-2</v>
      </c>
      <c r="J46" s="545">
        <f t="shared" si="4"/>
        <v>0</v>
      </c>
      <c r="K46" s="494">
        <f t="shared" si="5"/>
        <v>21.662598671460032</v>
      </c>
      <c r="L46" s="546">
        <f t="shared" si="6"/>
        <v>162.74953436107197</v>
      </c>
      <c r="M46" s="327"/>
      <c r="N46" s="327"/>
      <c r="T46" s="33"/>
      <c r="U46" s="189"/>
      <c r="V46" s="189"/>
      <c r="W46" s="189"/>
      <c r="X46" s="189"/>
      <c r="AE46" s="17"/>
      <c r="AL46" s="548"/>
    </row>
    <row r="47" spans="1:38" s="30" customFormat="1" x14ac:dyDescent="0.25">
      <c r="A47" s="21" t="s">
        <v>841</v>
      </c>
      <c r="B47" s="46">
        <v>1.4810515</v>
      </c>
      <c r="C47" s="545">
        <f t="shared" si="0"/>
        <v>1.4606693422918548E-2</v>
      </c>
      <c r="D47" s="46">
        <v>11.794183410000002</v>
      </c>
      <c r="E47" s="545">
        <f t="shared" si="1"/>
        <v>0.11006791596232948</v>
      </c>
      <c r="F47" s="46">
        <v>10.28516758</v>
      </c>
      <c r="G47" s="46"/>
      <c r="H47" s="494">
        <f t="shared" si="2"/>
        <v>10.28516758</v>
      </c>
      <c r="I47" s="545">
        <f t="shared" si="3"/>
        <v>8.9924559980665397E-2</v>
      </c>
      <c r="J47" s="545">
        <f t="shared" si="4"/>
        <v>0</v>
      </c>
      <c r="K47" s="494">
        <f t="shared" si="5"/>
        <v>-12.794576593751671</v>
      </c>
      <c r="L47" s="546">
        <f t="shared" si="6"/>
        <v>594.45036718844676</v>
      </c>
      <c r="M47" s="327"/>
      <c r="N47" s="327"/>
      <c r="T47" s="33"/>
      <c r="U47" s="189"/>
      <c r="V47" s="189"/>
      <c r="W47" s="189"/>
      <c r="X47" s="189"/>
      <c r="AE47" s="17"/>
      <c r="AL47" s="548"/>
    </row>
    <row r="48" spans="1:38" s="30" customFormat="1" x14ac:dyDescent="0.25">
      <c r="A48" s="21" t="s">
        <v>751</v>
      </c>
      <c r="B48" s="46">
        <v>13.297298789999999</v>
      </c>
      <c r="C48" s="545">
        <f t="shared" si="0"/>
        <v>0.13114302019779581</v>
      </c>
      <c r="D48" s="46">
        <v>13.882404360000002</v>
      </c>
      <c r="E48" s="545">
        <f t="shared" si="1"/>
        <v>0.12955600768053141</v>
      </c>
      <c r="F48" s="46">
        <v>10.011635389999999</v>
      </c>
      <c r="G48" s="46"/>
      <c r="H48" s="494">
        <f t="shared" si="2"/>
        <v>10.011635389999999</v>
      </c>
      <c r="I48" s="545">
        <f t="shared" si="3"/>
        <v>8.7533032410990363E-2</v>
      </c>
      <c r="J48" s="545">
        <f t="shared" si="4"/>
        <v>0</v>
      </c>
      <c r="K48" s="494">
        <f t="shared" si="5"/>
        <v>-27.882554560599203</v>
      </c>
      <c r="L48" s="546">
        <f t="shared" si="6"/>
        <v>-24.709254502658283</v>
      </c>
      <c r="M48" s="327"/>
      <c r="N48" s="327"/>
      <c r="T48" s="33"/>
      <c r="U48" s="189"/>
      <c r="V48" s="189"/>
      <c r="W48" s="189"/>
      <c r="X48" s="189"/>
      <c r="AE48" s="17"/>
      <c r="AL48" s="548"/>
    </row>
    <row r="49" spans="1:38" s="30" customFormat="1" x14ac:dyDescent="0.25">
      <c r="A49" s="21" t="s">
        <v>889</v>
      </c>
      <c r="B49" s="46">
        <v>4.9224376699999999</v>
      </c>
      <c r="C49" s="545">
        <f t="shared" si="0"/>
        <v>4.8546953255248382E-2</v>
      </c>
      <c r="D49" s="46">
        <v>11.371927749999999</v>
      </c>
      <c r="E49" s="545">
        <f t="shared" si="1"/>
        <v>0.10612726158348611</v>
      </c>
      <c r="F49" s="46">
        <v>9.82704807</v>
      </c>
      <c r="G49" s="46"/>
      <c r="H49" s="494">
        <f t="shared" si="2"/>
        <v>9.82704807</v>
      </c>
      <c r="I49" s="545">
        <f t="shared" si="3"/>
        <v>8.5919161426400131E-2</v>
      </c>
      <c r="J49" s="545">
        <f t="shared" si="4"/>
        <v>0</v>
      </c>
      <c r="K49" s="494">
        <f t="shared" si="5"/>
        <v>-13.585028976287683</v>
      </c>
      <c r="L49" s="546">
        <f t="shared" si="6"/>
        <v>99.637836551823725</v>
      </c>
      <c r="M49" s="327"/>
      <c r="N49" s="327"/>
      <c r="T49" s="33"/>
      <c r="U49" s="189"/>
      <c r="V49" s="189"/>
      <c r="W49" s="189"/>
      <c r="X49" s="189"/>
      <c r="AE49" s="17"/>
      <c r="AL49" s="548"/>
    </row>
    <row r="50" spans="1:38" s="30" customFormat="1" x14ac:dyDescent="0.25">
      <c r="A50" s="21" t="s">
        <v>750</v>
      </c>
      <c r="B50" s="46">
        <v>8.56307142</v>
      </c>
      <c r="C50" s="545">
        <f t="shared" si="0"/>
        <v>8.4452268533873262E-2</v>
      </c>
      <c r="D50" s="46">
        <v>6.9900477299999997</v>
      </c>
      <c r="E50" s="545">
        <f t="shared" si="1"/>
        <v>6.5233849548750722E-2</v>
      </c>
      <c r="F50" s="46">
        <v>9.774450139999999</v>
      </c>
      <c r="G50" s="46"/>
      <c r="H50" s="494">
        <f t="shared" si="2"/>
        <v>9.774450139999999</v>
      </c>
      <c r="I50" s="545">
        <f t="shared" si="3"/>
        <v>8.5459290872580349E-2</v>
      </c>
      <c r="J50" s="545">
        <f t="shared" si="4"/>
        <v>0</v>
      </c>
      <c r="K50" s="494">
        <f t="shared" si="5"/>
        <v>39.83381112048572</v>
      </c>
      <c r="L50" s="546">
        <f t="shared" si="6"/>
        <v>14.146544628492652</v>
      </c>
      <c r="M50" s="327"/>
      <c r="N50" s="327"/>
      <c r="T50" s="33"/>
      <c r="U50" s="189"/>
      <c r="V50" s="189"/>
      <c r="W50" s="189"/>
      <c r="X50" s="189"/>
      <c r="AE50" s="17"/>
      <c r="AL50" s="548"/>
    </row>
    <row r="51" spans="1:38" s="30" customFormat="1" x14ac:dyDescent="0.25">
      <c r="A51" s="21" t="s">
        <v>752</v>
      </c>
      <c r="B51" s="46">
        <v>1.178179E-2</v>
      </c>
      <c r="C51" s="545">
        <f t="shared" si="0"/>
        <v>1.1619649587013518E-4</v>
      </c>
      <c r="D51" s="46">
        <v>3.2631100000000001E-3</v>
      </c>
      <c r="E51" s="545">
        <f t="shared" si="1"/>
        <v>3.0452614205686398E-5</v>
      </c>
      <c r="F51" s="46">
        <v>5.0779999999999992E-3</v>
      </c>
      <c r="G51" s="46">
        <v>9.1882782899999995</v>
      </c>
      <c r="H51" s="494">
        <f t="shared" si="2"/>
        <v>9.1933562899999988</v>
      </c>
      <c r="I51" s="545">
        <f t="shared" si="3"/>
        <v>4.4397615501158303E-5</v>
      </c>
      <c r="J51" s="545">
        <f t="shared" si="4"/>
        <v>8.0334314028566431E-2</v>
      </c>
      <c r="K51" s="494">
        <f t="shared" si="5"/>
        <v>281636.02146418596</v>
      </c>
      <c r="L51" s="546">
        <f t="shared" si="6"/>
        <v>77930.216885549627</v>
      </c>
      <c r="M51" s="327"/>
      <c r="N51" s="327"/>
      <c r="T51" s="33"/>
      <c r="U51" s="189"/>
      <c r="V51" s="189"/>
      <c r="W51" s="189"/>
      <c r="X51" s="189"/>
      <c r="AE51" s="17"/>
      <c r="AL51" s="548"/>
    </row>
    <row r="52" spans="1:38" s="30" customFormat="1" x14ac:dyDescent="0.25">
      <c r="A52" s="21" t="s">
        <v>952</v>
      </c>
      <c r="B52" s="46">
        <v>0.81569385999999999</v>
      </c>
      <c r="C52" s="545">
        <f t="shared" si="0"/>
        <v>8.0446832132286036E-3</v>
      </c>
      <c r="D52" s="46">
        <v>5.3205048799999988</v>
      </c>
      <c r="E52" s="545">
        <f t="shared" si="1"/>
        <v>4.9653025025240272E-2</v>
      </c>
      <c r="F52" s="46">
        <v>0.25507602000000001</v>
      </c>
      <c r="G52" s="46">
        <v>7.3836176999999994</v>
      </c>
      <c r="H52" s="494">
        <f t="shared" si="2"/>
        <v>7.6386937199999991</v>
      </c>
      <c r="I52" s="545">
        <f t="shared" si="3"/>
        <v>2.2301628711157481E-3</v>
      </c>
      <c r="J52" s="545">
        <f t="shared" si="4"/>
        <v>6.4555931400580316E-2</v>
      </c>
      <c r="K52" s="494">
        <f t="shared" si="5"/>
        <v>43.570843224186675</v>
      </c>
      <c r="L52" s="546">
        <f t="shared" si="6"/>
        <v>836.46576179940837</v>
      </c>
      <c r="M52" s="327"/>
      <c r="N52" s="327"/>
      <c r="T52" s="33"/>
      <c r="U52" s="189"/>
      <c r="V52" s="189"/>
      <c r="W52" s="189"/>
      <c r="X52" s="189"/>
      <c r="AE52" s="17"/>
      <c r="AL52" s="548"/>
    </row>
    <row r="53" spans="1:38" s="30" customFormat="1" x14ac:dyDescent="0.25">
      <c r="A53" s="21" t="s">
        <v>861</v>
      </c>
      <c r="B53" s="46">
        <v>0.44635850999999988</v>
      </c>
      <c r="C53" s="545">
        <f t="shared" si="0"/>
        <v>4.4021574619658539E-3</v>
      </c>
      <c r="D53" s="46">
        <v>2.3248541899999999</v>
      </c>
      <c r="E53" s="545">
        <f t="shared" si="1"/>
        <v>2.1696445333606144E-2</v>
      </c>
      <c r="F53" s="46">
        <v>7.5685300199999999</v>
      </c>
      <c r="G53" s="46">
        <v>5.2959710000000007E-2</v>
      </c>
      <c r="H53" s="494">
        <f t="shared" si="2"/>
        <v>7.6214897299999995</v>
      </c>
      <c r="I53" s="545">
        <f t="shared" si="3"/>
        <v>6.6172643902507683E-2</v>
      </c>
      <c r="J53" s="545">
        <f t="shared" si="4"/>
        <v>4.6303364348815454E-4</v>
      </c>
      <c r="K53" s="494">
        <f t="shared" si="5"/>
        <v>227.82656920088394</v>
      </c>
      <c r="L53" s="546">
        <f t="shared" si="6"/>
        <v>1607.4816675949567</v>
      </c>
      <c r="M53" s="327"/>
      <c r="N53" s="327"/>
      <c r="T53" s="33"/>
      <c r="U53" s="189"/>
      <c r="V53" s="189"/>
      <c r="W53" s="189"/>
      <c r="X53" s="189"/>
      <c r="AE53" s="17"/>
      <c r="AL53" s="548"/>
    </row>
    <row r="54" spans="1:38" s="30" customFormat="1" x14ac:dyDescent="0.25">
      <c r="A54" s="21" t="s">
        <v>756</v>
      </c>
      <c r="B54" s="46">
        <v>6.9185576800000002</v>
      </c>
      <c r="C54" s="545">
        <f t="shared" si="0"/>
        <v>6.8233448303815641E-2</v>
      </c>
      <c r="D54" s="46">
        <v>0.26935928999999997</v>
      </c>
      <c r="E54" s="545">
        <f t="shared" si="1"/>
        <v>2.5137658678645839E-3</v>
      </c>
      <c r="F54" s="46">
        <v>7.5817383000000005</v>
      </c>
      <c r="G54" s="46"/>
      <c r="H54" s="494">
        <f t="shared" si="2"/>
        <v>7.5817383000000005</v>
      </c>
      <c r="I54" s="545">
        <f t="shared" si="3"/>
        <v>6.6288125615164561E-2</v>
      </c>
      <c r="J54" s="545">
        <f t="shared" si="4"/>
        <v>0</v>
      </c>
      <c r="K54" s="494">
        <f t="shared" si="5"/>
        <v>2714.7305778835403</v>
      </c>
      <c r="L54" s="546">
        <f t="shared" si="6"/>
        <v>9.5855328621037081</v>
      </c>
      <c r="M54" s="327"/>
      <c r="N54" s="327"/>
      <c r="T54" s="33"/>
      <c r="U54" s="189"/>
      <c r="V54" s="189"/>
      <c r="W54" s="189"/>
      <c r="X54" s="189"/>
      <c r="AE54" s="17"/>
      <c r="AL54" s="548"/>
    </row>
    <row r="55" spans="1:38" s="30" customFormat="1" x14ac:dyDescent="0.25">
      <c r="A55" s="21" t="s">
        <v>850</v>
      </c>
      <c r="B55" s="46">
        <v>4.8902710300000001</v>
      </c>
      <c r="C55" s="545">
        <f t="shared" si="0"/>
        <v>4.8229713612382895E-2</v>
      </c>
      <c r="D55" s="46">
        <v>7.1567419599999997</v>
      </c>
      <c r="E55" s="545">
        <f t="shared" si="1"/>
        <v>6.6789505066494212E-2</v>
      </c>
      <c r="F55" s="46">
        <v>7.1349486899999999</v>
      </c>
      <c r="G55" s="46">
        <v>4.0000000000000002E-4</v>
      </c>
      <c r="H55" s="494">
        <f t="shared" si="2"/>
        <v>7.1353486899999998</v>
      </c>
      <c r="I55" s="545">
        <f t="shared" si="3"/>
        <v>6.2381785852523269E-2</v>
      </c>
      <c r="J55" s="545">
        <f t="shared" si="4"/>
        <v>3.497252107220032E-6</v>
      </c>
      <c r="K55" s="494">
        <f t="shared" si="5"/>
        <v>-0.29892470791276216</v>
      </c>
      <c r="L55" s="546">
        <f t="shared" si="6"/>
        <v>45.909064062651758</v>
      </c>
      <c r="M55" s="327"/>
      <c r="N55" s="327"/>
      <c r="T55" s="33"/>
      <c r="U55" s="189"/>
      <c r="V55" s="189"/>
      <c r="W55" s="189"/>
      <c r="X55" s="189"/>
      <c r="AE55" s="17"/>
      <c r="AL55" s="548"/>
    </row>
    <row r="56" spans="1:38" s="30" customFormat="1" x14ac:dyDescent="0.25">
      <c r="A56" s="21" t="s">
        <v>911</v>
      </c>
      <c r="B56" s="46">
        <v>1.3429469799999998</v>
      </c>
      <c r="C56" s="545">
        <f t="shared" si="0"/>
        <v>1.3244654098857686E-2</v>
      </c>
      <c r="D56" s="46">
        <v>5.0017950300000003</v>
      </c>
      <c r="E56" s="545">
        <f t="shared" si="1"/>
        <v>4.6678700498760273E-2</v>
      </c>
      <c r="F56" s="46">
        <v>0.22336131000000001</v>
      </c>
      <c r="G56" s="46">
        <v>6.7343496900000002</v>
      </c>
      <c r="H56" s="494">
        <f t="shared" si="2"/>
        <v>6.9577109999999998</v>
      </c>
      <c r="I56" s="545">
        <f t="shared" si="3"/>
        <v>1.9528770301723171E-3</v>
      </c>
      <c r="J56" s="545">
        <f t="shared" si="4"/>
        <v>5.8879296610272677E-2</v>
      </c>
      <c r="K56" s="494">
        <f t="shared" si="5"/>
        <v>39.104280728592734</v>
      </c>
      <c r="L56" s="546">
        <f t="shared" si="6"/>
        <v>418.09275448834182</v>
      </c>
      <c r="M56" s="327"/>
      <c r="N56" s="327"/>
      <c r="T56" s="33"/>
      <c r="U56" s="189"/>
      <c r="V56" s="189"/>
      <c r="W56" s="189"/>
      <c r="X56" s="189"/>
      <c r="AE56" s="17"/>
      <c r="AL56" s="548"/>
    </row>
    <row r="57" spans="1:38" s="30" customFormat="1" x14ac:dyDescent="0.25">
      <c r="A57" s="21" t="s">
        <v>976</v>
      </c>
      <c r="B57" s="46">
        <v>60.171839059999989</v>
      </c>
      <c r="C57" s="545">
        <f t="shared" si="0"/>
        <v>0.59343757178100509</v>
      </c>
      <c r="D57" s="46">
        <v>32.46305091</v>
      </c>
      <c r="E57" s="545">
        <f t="shared" si="1"/>
        <v>0.30295784245759011</v>
      </c>
      <c r="F57" s="46">
        <v>3.5609728199999999</v>
      </c>
      <c r="G57" s="46">
        <v>3.0404145100000002</v>
      </c>
      <c r="H57" s="494">
        <f t="shared" si="2"/>
        <v>6.6013873299999997</v>
      </c>
      <c r="I57" s="545">
        <f t="shared" si="3"/>
        <v>3.1134049246245653E-2</v>
      </c>
      <c r="J57" s="545">
        <f t="shared" si="4"/>
        <v>2.6582740129799658E-2</v>
      </c>
      <c r="K57" s="494">
        <f t="shared" si="5"/>
        <v>-79.664920132425095</v>
      </c>
      <c r="L57" s="546">
        <f t="shared" si="6"/>
        <v>-89.02910824544108</v>
      </c>
      <c r="M57" s="327"/>
      <c r="N57" s="327"/>
      <c r="T57" s="33"/>
      <c r="U57" s="189"/>
      <c r="V57" s="189"/>
      <c r="W57" s="189"/>
      <c r="X57" s="189"/>
      <c r="AE57" s="17"/>
      <c r="AL57" s="548"/>
    </row>
    <row r="58" spans="1:38" s="30" customFormat="1" x14ac:dyDescent="0.25">
      <c r="A58" s="21" t="s">
        <v>879</v>
      </c>
      <c r="B58" s="46">
        <v>9.1482700000000014E-2</v>
      </c>
      <c r="C58" s="545">
        <f t="shared" si="0"/>
        <v>9.0223719593871714E-4</v>
      </c>
      <c r="D58" s="46">
        <v>5.8808239499999999</v>
      </c>
      <c r="E58" s="545">
        <f t="shared" si="1"/>
        <v>5.4882140951702761E-2</v>
      </c>
      <c r="F58" s="46">
        <v>5.8318099999999999</v>
      </c>
      <c r="G58" s="46">
        <v>7.1337960000000006E-2</v>
      </c>
      <c r="H58" s="494">
        <f t="shared" si="2"/>
        <v>5.9031479600000001</v>
      </c>
      <c r="I58" s="545">
        <f t="shared" si="3"/>
        <v>5.098827452851714E-2</v>
      </c>
      <c r="J58" s="545">
        <f t="shared" si="4"/>
        <v>6.2371707733694596E-4</v>
      </c>
      <c r="K58" s="494">
        <f t="shared" si="5"/>
        <v>0.37960684063667038</v>
      </c>
      <c r="L58" s="546">
        <f t="shared" si="6"/>
        <v>6352.7478528727288</v>
      </c>
      <c r="M58" s="327"/>
      <c r="N58" s="327"/>
      <c r="T58" s="33"/>
      <c r="U58" s="189"/>
      <c r="V58" s="189"/>
      <c r="W58" s="189"/>
      <c r="X58" s="189"/>
      <c r="AE58" s="17"/>
      <c r="AL58" s="548"/>
    </row>
    <row r="59" spans="1:38" s="30" customFormat="1" x14ac:dyDescent="0.25">
      <c r="A59" s="21" t="s">
        <v>872</v>
      </c>
      <c r="B59" s="46">
        <v>2.1208748899999996</v>
      </c>
      <c r="C59" s="545">
        <f t="shared" si="0"/>
        <v>2.0916875143501823E-2</v>
      </c>
      <c r="D59" s="46">
        <v>0.21327234</v>
      </c>
      <c r="E59" s="545">
        <f t="shared" si="1"/>
        <v>1.9903405924912064E-3</v>
      </c>
      <c r="F59" s="46">
        <v>0.25395835999999994</v>
      </c>
      <c r="G59" s="46">
        <v>5.4268660200000003</v>
      </c>
      <c r="H59" s="494">
        <f t="shared" si="2"/>
        <v>5.6808243800000007</v>
      </c>
      <c r="I59" s="545">
        <f t="shared" si="3"/>
        <v>2.2203910241403585E-3</v>
      </c>
      <c r="J59" s="545">
        <f t="shared" si="4"/>
        <v>4.7447796560114476E-2</v>
      </c>
      <c r="K59" s="494">
        <f t="shared" si="5"/>
        <v>2563.6479817307768</v>
      </c>
      <c r="L59" s="546">
        <f t="shared" si="6"/>
        <v>167.85287556495149</v>
      </c>
      <c r="M59" s="327"/>
      <c r="N59" s="327"/>
      <c r="T59" s="33"/>
      <c r="U59" s="189"/>
      <c r="V59" s="189"/>
      <c r="W59" s="189"/>
      <c r="X59" s="189"/>
      <c r="AE59" s="17"/>
      <c r="AL59" s="548"/>
    </row>
    <row r="60" spans="1:38" s="30" customFormat="1" x14ac:dyDescent="0.25">
      <c r="A60" s="21" t="s">
        <v>961</v>
      </c>
      <c r="B60" s="46">
        <v>2.6782937899999997</v>
      </c>
      <c r="C60" s="545">
        <f t="shared" si="0"/>
        <v>2.6414352429362912E-2</v>
      </c>
      <c r="D60" s="46">
        <v>3.1181221599999995</v>
      </c>
      <c r="E60" s="545">
        <f t="shared" si="1"/>
        <v>2.9099531178747126E-2</v>
      </c>
      <c r="F60" s="46">
        <v>5.4540501199999998</v>
      </c>
      <c r="G60" s="46">
        <v>2.7687219999999998E-2</v>
      </c>
      <c r="H60" s="494">
        <f t="shared" si="2"/>
        <v>5.4817373399999996</v>
      </c>
      <c r="I60" s="545">
        <f t="shared" si="3"/>
        <v>4.7685470687634172E-2</v>
      </c>
      <c r="J60" s="545">
        <f t="shared" si="4"/>
        <v>2.4207297122016153E-4</v>
      </c>
      <c r="K60" s="494">
        <f t="shared" si="5"/>
        <v>75.802520193756635</v>
      </c>
      <c r="L60" s="546">
        <f t="shared" si="6"/>
        <v>104.67274204447898</v>
      </c>
      <c r="M60" s="327"/>
      <c r="N60" s="327"/>
      <c r="T60" s="33"/>
      <c r="U60" s="189"/>
      <c r="V60" s="189"/>
      <c r="W60" s="189"/>
      <c r="X60" s="189"/>
      <c r="AE60" s="17"/>
      <c r="AL60" s="548"/>
    </row>
    <row r="61" spans="1:38" s="30" customFormat="1" x14ac:dyDescent="0.25">
      <c r="A61" s="21" t="s">
        <v>753</v>
      </c>
      <c r="B61" s="46">
        <v>0.37263100000000005</v>
      </c>
      <c r="C61" s="545">
        <f t="shared" si="0"/>
        <v>3.6750287055349268E-3</v>
      </c>
      <c r="D61" s="46">
        <v>0.75862412000000001</v>
      </c>
      <c r="E61" s="545">
        <f t="shared" si="1"/>
        <v>7.0797759356835488E-3</v>
      </c>
      <c r="F61" s="46">
        <v>5.1650481700000013</v>
      </c>
      <c r="G61" s="46"/>
      <c r="H61" s="494">
        <f t="shared" si="2"/>
        <v>5.1650481700000013</v>
      </c>
      <c r="I61" s="545">
        <f t="shared" si="3"/>
        <v>4.5158688991063692E-2</v>
      </c>
      <c r="J61" s="545">
        <f t="shared" si="4"/>
        <v>0</v>
      </c>
      <c r="K61" s="494">
        <f t="shared" si="5"/>
        <v>580.84418011913476</v>
      </c>
      <c r="L61" s="546">
        <f t="shared" si="6"/>
        <v>1286.1026511481869</v>
      </c>
      <c r="M61" s="327"/>
      <c r="N61" s="327"/>
      <c r="T61" s="33"/>
      <c r="U61" s="189"/>
      <c r="V61" s="189"/>
      <c r="W61" s="189"/>
      <c r="X61" s="189"/>
      <c r="AE61" s="17"/>
      <c r="AL61" s="548"/>
    </row>
    <row r="62" spans="1:38" s="30" customFormat="1" x14ac:dyDescent="0.25">
      <c r="A62" s="21" t="s">
        <v>940</v>
      </c>
      <c r="B62" s="46">
        <v>4.0990077999999999</v>
      </c>
      <c r="C62" s="545">
        <f t="shared" si="0"/>
        <v>4.0425974567901132E-2</v>
      </c>
      <c r="D62" s="46">
        <v>1.83704884</v>
      </c>
      <c r="E62" s="545">
        <f t="shared" si="1"/>
        <v>1.7144055701929669E-2</v>
      </c>
      <c r="F62" s="46">
        <v>3.6959321900000002</v>
      </c>
      <c r="G62" s="46">
        <v>1.03886711</v>
      </c>
      <c r="H62" s="494">
        <f t="shared" si="2"/>
        <v>4.7347993000000006</v>
      </c>
      <c r="I62" s="545">
        <f t="shared" si="3"/>
        <v>3.2314016599049623E-2</v>
      </c>
      <c r="J62" s="545">
        <f t="shared" si="4"/>
        <v>9.0829504739227112E-3</v>
      </c>
      <c r="K62" s="494">
        <f t="shared" si="5"/>
        <v>157.73943495154984</v>
      </c>
      <c r="L62" s="546">
        <f t="shared" si="6"/>
        <v>15.510863385036755</v>
      </c>
      <c r="M62" s="327"/>
      <c r="N62" s="327"/>
      <c r="T62" s="33"/>
      <c r="U62" s="189"/>
      <c r="V62" s="189"/>
      <c r="W62" s="189"/>
      <c r="X62" s="189"/>
      <c r="AE62" s="17"/>
      <c r="AL62" s="548"/>
    </row>
    <row r="63" spans="1:38" s="30" customFormat="1" x14ac:dyDescent="0.25">
      <c r="A63" s="21" t="s">
        <v>935</v>
      </c>
      <c r="B63" s="46">
        <v>3.7871586699999997</v>
      </c>
      <c r="C63" s="545">
        <f t="shared" si="0"/>
        <v>3.7350399791390071E-2</v>
      </c>
      <c r="D63" s="46">
        <v>2.5421637199999996</v>
      </c>
      <c r="E63" s="545">
        <f t="shared" si="1"/>
        <v>2.3724462556534279E-2</v>
      </c>
      <c r="F63" s="46">
        <v>1.3881448300000003</v>
      </c>
      <c r="G63" s="46">
        <v>3.09547134</v>
      </c>
      <c r="H63" s="494">
        <f t="shared" si="2"/>
        <v>4.4836161700000003</v>
      </c>
      <c r="I63" s="545">
        <f t="shared" si="3"/>
        <v>1.2136731079610236E-2</v>
      </c>
      <c r="J63" s="545">
        <f t="shared" si="4"/>
        <v>2.7064109166635542E-2</v>
      </c>
      <c r="K63" s="494">
        <f t="shared" si="5"/>
        <v>76.370079343276956</v>
      </c>
      <c r="L63" s="546">
        <f t="shared" si="6"/>
        <v>18.389974138580278</v>
      </c>
      <c r="M63" s="327"/>
      <c r="N63" s="327"/>
      <c r="T63" s="33"/>
      <c r="U63" s="189"/>
      <c r="V63" s="189"/>
      <c r="W63" s="189"/>
      <c r="X63" s="189"/>
      <c r="AE63" s="17"/>
      <c r="AL63" s="548"/>
    </row>
    <row r="64" spans="1:38" s="30" customFormat="1" x14ac:dyDescent="0.25">
      <c r="A64" s="21" t="s">
        <v>927</v>
      </c>
      <c r="B64" s="46">
        <v>12.993507409999999</v>
      </c>
      <c r="C64" s="545">
        <f t="shared" si="0"/>
        <v>0.12814691401770323</v>
      </c>
      <c r="D64" s="46">
        <v>15.02640632</v>
      </c>
      <c r="E64" s="545">
        <f t="shared" si="1"/>
        <v>0.14023227980694733</v>
      </c>
      <c r="F64" s="46">
        <v>4.2230543600000008</v>
      </c>
      <c r="G64" s="46">
        <v>0.13803474000000002</v>
      </c>
      <c r="H64" s="494">
        <f t="shared" si="2"/>
        <v>4.3610891000000009</v>
      </c>
      <c r="I64" s="545">
        <f t="shared" si="3"/>
        <v>3.6922714398536866E-2</v>
      </c>
      <c r="J64" s="545">
        <f t="shared" si="4"/>
        <v>1.2068557133364233E-3</v>
      </c>
      <c r="K64" s="494">
        <f t="shared" si="5"/>
        <v>-70.977165084405883</v>
      </c>
      <c r="L64" s="546">
        <f t="shared" si="6"/>
        <v>-66.436398099533605</v>
      </c>
      <c r="M64" s="327"/>
      <c r="N64" s="327"/>
      <c r="T64" s="33"/>
      <c r="U64" s="189"/>
      <c r="V64" s="189"/>
      <c r="W64" s="189"/>
      <c r="X64" s="189"/>
      <c r="AE64" s="17"/>
      <c r="AL64" s="548"/>
    </row>
    <row r="65" spans="1:38" s="30" customFormat="1" x14ac:dyDescent="0.25">
      <c r="A65" s="21" t="s">
        <v>880</v>
      </c>
      <c r="B65" s="46">
        <v>0.29542738999999996</v>
      </c>
      <c r="C65" s="545">
        <f t="shared" si="0"/>
        <v>2.9136173282718336E-3</v>
      </c>
      <c r="D65" s="46">
        <v>0.71797702000000008</v>
      </c>
      <c r="E65" s="545">
        <f t="shared" si="1"/>
        <v>6.7004413576644333E-3</v>
      </c>
      <c r="F65" s="46">
        <v>4.2387722799999992</v>
      </c>
      <c r="G65" s="46">
        <v>6.5275539999999993E-2</v>
      </c>
      <c r="H65" s="494">
        <f t="shared" si="2"/>
        <v>4.3040478199999992</v>
      </c>
      <c r="I65" s="545">
        <f t="shared" si="3"/>
        <v>3.7060138220639645E-2</v>
      </c>
      <c r="J65" s="545">
        <f t="shared" si="4"/>
        <v>5.7071254953731368E-4</v>
      </c>
      <c r="K65" s="494">
        <f t="shared" si="5"/>
        <v>499.46874344251279</v>
      </c>
      <c r="L65" s="546">
        <f t="shared" si="6"/>
        <v>1356.8885505165922</v>
      </c>
      <c r="M65" s="327"/>
      <c r="N65" s="327"/>
      <c r="T65" s="33"/>
      <c r="U65" s="189"/>
      <c r="V65" s="189"/>
      <c r="W65" s="189"/>
      <c r="X65" s="189"/>
      <c r="AE65" s="17"/>
      <c r="AL65" s="548"/>
    </row>
    <row r="66" spans="1:38" s="30" customFormat="1" x14ac:dyDescent="0.25">
      <c r="A66" s="21" t="s">
        <v>945</v>
      </c>
      <c r="B66" s="46">
        <v>13.28382064</v>
      </c>
      <c r="C66" s="545">
        <f t="shared" si="0"/>
        <v>0.13101009355415233</v>
      </c>
      <c r="D66" s="46">
        <v>6.7021948100000008</v>
      </c>
      <c r="E66" s="545">
        <f t="shared" si="1"/>
        <v>6.2547493918465424E-2</v>
      </c>
      <c r="F66" s="46">
        <v>4.1662457499999999</v>
      </c>
      <c r="G66" s="46">
        <v>0.10201300000000001</v>
      </c>
      <c r="H66" s="494">
        <f t="shared" si="2"/>
        <v>4.2682587500000002</v>
      </c>
      <c r="I66" s="545">
        <f t="shared" si="3"/>
        <v>3.6426029320960007E-2</v>
      </c>
      <c r="J66" s="545">
        <f t="shared" si="4"/>
        <v>8.919129480345928E-4</v>
      </c>
      <c r="K66" s="494">
        <f t="shared" si="5"/>
        <v>-36.315507516559343</v>
      </c>
      <c r="L66" s="546">
        <f t="shared" si="6"/>
        <v>-67.86874148881914</v>
      </c>
      <c r="M66" s="327"/>
      <c r="N66" s="327"/>
      <c r="T66" s="33"/>
      <c r="U66" s="189"/>
      <c r="V66" s="189"/>
      <c r="W66" s="189"/>
      <c r="X66" s="189"/>
      <c r="AE66" s="17"/>
      <c r="AL66" s="548"/>
    </row>
    <row r="67" spans="1:38" s="30" customFormat="1" x14ac:dyDescent="0.25">
      <c r="A67" s="21" t="s">
        <v>934</v>
      </c>
      <c r="B67" s="46">
        <v>11.79103387</v>
      </c>
      <c r="C67" s="545">
        <f t="shared" si="0"/>
        <v>0.11628766243330418</v>
      </c>
      <c r="D67" s="46">
        <v>2.4174263699999998</v>
      </c>
      <c r="E67" s="545">
        <f t="shared" si="1"/>
        <v>2.2560364994211934E-2</v>
      </c>
      <c r="F67" s="46">
        <v>3.6914771500000003</v>
      </c>
      <c r="G67" s="46">
        <v>7.7680079999999999E-2</v>
      </c>
      <c r="H67" s="494">
        <f t="shared" si="2"/>
        <v>3.7691572300000002</v>
      </c>
      <c r="I67" s="545">
        <f t="shared" si="3"/>
        <v>3.2275065603980253E-2</v>
      </c>
      <c r="J67" s="545">
        <f t="shared" si="4"/>
        <v>6.7916705867255168E-4</v>
      </c>
      <c r="K67" s="494">
        <f t="shared" si="5"/>
        <v>55.916112969347665</v>
      </c>
      <c r="L67" s="546">
        <f t="shared" si="6"/>
        <v>-68.033700254310261</v>
      </c>
      <c r="M67" s="327"/>
      <c r="N67" s="327"/>
      <c r="T67" s="33"/>
      <c r="U67" s="189"/>
      <c r="V67" s="189"/>
      <c r="W67" s="189"/>
      <c r="X67" s="189"/>
      <c r="AE67" s="17"/>
      <c r="AL67" s="548"/>
    </row>
    <row r="68" spans="1:38" s="30" customFormat="1" x14ac:dyDescent="0.25">
      <c r="A68" s="21" t="s">
        <v>936</v>
      </c>
      <c r="B68" s="46">
        <v>125.31866516000005</v>
      </c>
      <c r="C68" s="545">
        <f t="shared" ref="C68:C131" si="7">(B68/$B$234)*100</f>
        <v>1.2359403586988733</v>
      </c>
      <c r="D68" s="46">
        <v>4.1049780900000075</v>
      </c>
      <c r="E68" s="545">
        <f t="shared" ref="E68:E131" si="8">(D68/$D$234)*100</f>
        <v>3.8309255310904518E-2</v>
      </c>
      <c r="F68" s="46">
        <v>1.15520621</v>
      </c>
      <c r="G68" s="46">
        <v>2.3596290800000044</v>
      </c>
      <c r="H68" s="494">
        <f t="shared" ref="H68:H131" si="9">F68+G68</f>
        <v>3.5148352900000042</v>
      </c>
      <c r="I68" s="545">
        <f t="shared" ref="I68:I131" si="10">(F68/$H$234)*100</f>
        <v>1.0100118380490417E-2</v>
      </c>
      <c r="J68" s="545">
        <f t="shared" ref="J68:J131" si="11">(G68/$H$234)*100</f>
        <v>2.0630544430719204E-2</v>
      </c>
      <c r="K68" s="494">
        <f t="shared" si="5"/>
        <v>-14.376271616105074</v>
      </c>
      <c r="L68" s="546">
        <f t="shared" si="6"/>
        <v>-97.195281895548078</v>
      </c>
      <c r="M68" s="327"/>
      <c r="N68" s="327"/>
      <c r="T68" s="33"/>
      <c r="U68" s="189"/>
      <c r="V68" s="189"/>
      <c r="W68" s="189"/>
      <c r="X68" s="189"/>
      <c r="AE68" s="17"/>
      <c r="AL68" s="548"/>
    </row>
    <row r="69" spans="1:38" s="30" customFormat="1" x14ac:dyDescent="0.25">
      <c r="A69" s="21" t="s">
        <v>931</v>
      </c>
      <c r="B69" s="46">
        <v>8.7090123800000008</v>
      </c>
      <c r="C69" s="545">
        <f t="shared" si="7"/>
        <v>8.5891593810925704E-2</v>
      </c>
      <c r="D69" s="46">
        <v>0.99294935999999989</v>
      </c>
      <c r="E69" s="545">
        <f t="shared" si="8"/>
        <v>9.2665903956235668E-3</v>
      </c>
      <c r="F69" s="46">
        <v>1.2332971000000001</v>
      </c>
      <c r="G69" s="46">
        <v>2.2032159400000002</v>
      </c>
      <c r="H69" s="494">
        <f t="shared" si="9"/>
        <v>3.4365130400000004</v>
      </c>
      <c r="I69" s="545">
        <f t="shared" si="10"/>
        <v>1.0782877204508387E-2</v>
      </c>
      <c r="J69" s="545">
        <f t="shared" si="11"/>
        <v>1.9263003972064412E-2</v>
      </c>
      <c r="K69" s="494">
        <f t="shared" ref="K69:K132" si="12">((H69/D69)-1)*100</f>
        <v>246.09147036461164</v>
      </c>
      <c r="L69" s="546">
        <f t="shared" ref="L69:L132" si="13">((H69/B69)-1)*100</f>
        <v>-60.540726203445814</v>
      </c>
      <c r="M69" s="327"/>
      <c r="N69" s="327"/>
      <c r="T69" s="33"/>
      <c r="U69" s="189"/>
      <c r="V69" s="189"/>
      <c r="W69" s="189"/>
      <c r="X69" s="189"/>
      <c r="AE69" s="17"/>
      <c r="AL69" s="548"/>
    </row>
    <row r="70" spans="1:38" s="30" customFormat="1" x14ac:dyDescent="0.25">
      <c r="A70" s="21" t="s">
        <v>893</v>
      </c>
      <c r="B70" s="46">
        <v>1.8398399400000001</v>
      </c>
      <c r="C70" s="545">
        <f t="shared" si="7"/>
        <v>1.8145201534734517E-2</v>
      </c>
      <c r="D70" s="46">
        <v>0.54194242000000004</v>
      </c>
      <c r="E70" s="545">
        <f t="shared" si="8"/>
        <v>5.0576178669907131E-3</v>
      </c>
      <c r="F70" s="46">
        <v>3.1976097100000005</v>
      </c>
      <c r="G70" s="46"/>
      <c r="H70" s="494">
        <f t="shared" si="9"/>
        <v>3.1976097100000005</v>
      </c>
      <c r="I70" s="545">
        <f t="shared" si="10"/>
        <v>2.7957118240911846E-2</v>
      </c>
      <c r="J70" s="545">
        <f t="shared" si="11"/>
        <v>0</v>
      </c>
      <c r="K70" s="494">
        <f t="shared" si="12"/>
        <v>490.02757340899797</v>
      </c>
      <c r="L70" s="546">
        <f t="shared" si="13"/>
        <v>73.798254972114606</v>
      </c>
      <c r="M70" s="327"/>
      <c r="N70" s="327"/>
      <c r="T70" s="33"/>
      <c r="U70" s="189"/>
      <c r="V70" s="189"/>
      <c r="W70" s="189"/>
      <c r="X70" s="189"/>
      <c r="AE70" s="17"/>
      <c r="AL70" s="548"/>
    </row>
    <row r="71" spans="1:38" s="30" customFormat="1" x14ac:dyDescent="0.25">
      <c r="A71" s="21" t="s">
        <v>946</v>
      </c>
      <c r="B71" s="46">
        <v>3.3858505800000001</v>
      </c>
      <c r="C71" s="545">
        <f t="shared" si="7"/>
        <v>3.3392546712839463E-2</v>
      </c>
      <c r="D71" s="46">
        <v>6.6821383100000009</v>
      </c>
      <c r="E71" s="545">
        <f t="shared" si="8"/>
        <v>6.236031884412948E-2</v>
      </c>
      <c r="F71" s="46">
        <v>1.5023488800000002</v>
      </c>
      <c r="G71" s="46">
        <v>1.4527065000000003</v>
      </c>
      <c r="H71" s="494">
        <f t="shared" si="9"/>
        <v>2.9550553800000006</v>
      </c>
      <c r="I71" s="545">
        <f t="shared" si="10"/>
        <v>1.3135231965899139E-2</v>
      </c>
      <c r="J71" s="545">
        <f t="shared" si="11"/>
        <v>1.2701202170743097E-2</v>
      </c>
      <c r="K71" s="494">
        <f t="shared" si="12"/>
        <v>-55.776800136302477</v>
      </c>
      <c r="L71" s="546">
        <f t="shared" si="13"/>
        <v>-12.723396671568398</v>
      </c>
      <c r="M71" s="327"/>
      <c r="N71" s="327"/>
      <c r="T71" s="33"/>
      <c r="U71" s="189"/>
      <c r="V71" s="189"/>
      <c r="W71" s="189"/>
      <c r="X71" s="189"/>
      <c r="AE71" s="17"/>
      <c r="AL71" s="548"/>
    </row>
    <row r="72" spans="1:38" s="30" customFormat="1" x14ac:dyDescent="0.25">
      <c r="A72" s="21" t="s">
        <v>758</v>
      </c>
      <c r="B72" s="46">
        <v>4.8999507200000014</v>
      </c>
      <c r="C72" s="545">
        <f t="shared" si="7"/>
        <v>4.8325178398218441E-2</v>
      </c>
      <c r="D72" s="46">
        <v>7.0707187000000005</v>
      </c>
      <c r="E72" s="545">
        <f t="shared" si="8"/>
        <v>6.5986702479546355E-2</v>
      </c>
      <c r="F72" s="46">
        <v>2.9036227800000001</v>
      </c>
      <c r="G72" s="46"/>
      <c r="H72" s="494">
        <f t="shared" si="9"/>
        <v>2.9036227800000001</v>
      </c>
      <c r="I72" s="545">
        <f t="shared" si="10"/>
        <v>2.5386752214817718E-2</v>
      </c>
      <c r="J72" s="545">
        <f t="shared" si="11"/>
        <v>0</v>
      </c>
      <c r="K72" s="494">
        <f t="shared" si="12"/>
        <v>-58.93454536665417</v>
      </c>
      <c r="L72" s="546">
        <f t="shared" si="13"/>
        <v>-40.741796276677668</v>
      </c>
      <c r="M72" s="327"/>
      <c r="N72" s="327"/>
      <c r="T72" s="33"/>
      <c r="U72" s="189"/>
      <c r="V72" s="189"/>
      <c r="W72" s="189"/>
      <c r="X72" s="189"/>
      <c r="AE72" s="17"/>
      <c r="AL72" s="548"/>
    </row>
    <row r="73" spans="1:38" s="30" customFormat="1" x14ac:dyDescent="0.25">
      <c r="A73" s="21" t="s">
        <v>971</v>
      </c>
      <c r="B73" s="46">
        <v>2.9996593099999993</v>
      </c>
      <c r="C73" s="545">
        <f t="shared" si="7"/>
        <v>2.9583781464974968E-2</v>
      </c>
      <c r="D73" s="46">
        <v>1.6628728399999999</v>
      </c>
      <c r="E73" s="545">
        <f t="shared" si="8"/>
        <v>1.5518577390781827E-2</v>
      </c>
      <c r="F73" s="46">
        <v>2.3496929100000004</v>
      </c>
      <c r="G73" s="46">
        <v>0.42914066000000001</v>
      </c>
      <c r="H73" s="494">
        <f t="shared" si="9"/>
        <v>2.7788335700000002</v>
      </c>
      <c r="I73" s="545">
        <f t="shared" si="10"/>
        <v>2.0543671202043676E-2</v>
      </c>
      <c r="J73" s="545">
        <f t="shared" si="11"/>
        <v>3.7520326936969889E-3</v>
      </c>
      <c r="K73" s="494">
        <f t="shared" si="12"/>
        <v>67.110406950900739</v>
      </c>
      <c r="L73" s="546">
        <f t="shared" si="13"/>
        <v>-7.3616940185116881</v>
      </c>
      <c r="M73" s="327"/>
      <c r="N73" s="327"/>
      <c r="T73" s="33"/>
      <c r="U73" s="189"/>
      <c r="V73" s="189"/>
      <c r="W73" s="189"/>
      <c r="X73" s="189"/>
      <c r="AE73" s="17"/>
      <c r="AL73" s="548"/>
    </row>
    <row r="74" spans="1:38" s="30" customFormat="1" x14ac:dyDescent="0.25">
      <c r="A74" s="21" t="s">
        <v>974</v>
      </c>
      <c r="B74" s="46">
        <v>5.0840463099999997</v>
      </c>
      <c r="C74" s="545">
        <f t="shared" si="7"/>
        <v>5.0140799153905395E-2</v>
      </c>
      <c r="D74" s="46">
        <v>0.96599467999999988</v>
      </c>
      <c r="E74" s="545">
        <f t="shared" si="8"/>
        <v>9.0150388171975453E-3</v>
      </c>
      <c r="F74" s="46">
        <v>0.31657161000000011</v>
      </c>
      <c r="G74" s="46">
        <v>2.2966196200000004</v>
      </c>
      <c r="H74" s="494">
        <f t="shared" si="9"/>
        <v>2.6131912300000004</v>
      </c>
      <c r="I74" s="545">
        <f t="shared" si="10"/>
        <v>2.7678268253963465E-3</v>
      </c>
      <c r="J74" s="545">
        <f t="shared" si="11"/>
        <v>2.0079644513819678E-2</v>
      </c>
      <c r="K74" s="494">
        <f t="shared" si="12"/>
        <v>170.51818028645877</v>
      </c>
      <c r="L74" s="546">
        <f t="shared" si="13"/>
        <v>-48.600168632216878</v>
      </c>
      <c r="M74" s="327"/>
      <c r="N74" s="327"/>
      <c r="T74" s="33"/>
      <c r="U74" s="189"/>
      <c r="V74" s="189"/>
      <c r="W74" s="189"/>
      <c r="X74" s="189"/>
      <c r="AE74" s="17"/>
      <c r="AL74" s="548"/>
    </row>
    <row r="75" spans="1:38" s="30" customFormat="1" x14ac:dyDescent="0.25">
      <c r="A75" s="21" t="s">
        <v>915</v>
      </c>
      <c r="B75" s="46">
        <v>18.858187779999998</v>
      </c>
      <c r="C75" s="545">
        <f t="shared" si="7"/>
        <v>0.18598662329722424</v>
      </c>
      <c r="D75" s="46">
        <v>1.9518234500000002</v>
      </c>
      <c r="E75" s="545">
        <f t="shared" si="8"/>
        <v>1.8215177091934334E-2</v>
      </c>
      <c r="F75" s="46">
        <v>1.1473110300000002</v>
      </c>
      <c r="G75" s="46">
        <v>1.37638807</v>
      </c>
      <c r="H75" s="494">
        <f t="shared" si="9"/>
        <v>2.5236991</v>
      </c>
      <c r="I75" s="545">
        <f t="shared" si="10"/>
        <v>1.0031089793260716E-2</v>
      </c>
      <c r="J75" s="545">
        <f t="shared" si="11"/>
        <v>1.2033940195400033E-2</v>
      </c>
      <c r="K75" s="494">
        <f t="shared" si="12"/>
        <v>29.299558318146012</v>
      </c>
      <c r="L75" s="546">
        <f t="shared" si="13"/>
        <v>-86.6174887563878</v>
      </c>
      <c r="M75" s="327"/>
      <c r="N75" s="327"/>
      <c r="T75" s="33"/>
      <c r="U75" s="189"/>
      <c r="V75" s="189"/>
      <c r="W75" s="189"/>
      <c r="X75" s="189"/>
      <c r="AE75" s="17"/>
      <c r="AL75" s="548"/>
    </row>
    <row r="76" spans="1:38" s="30" customFormat="1" x14ac:dyDescent="0.25">
      <c r="A76" s="21" t="s">
        <v>864</v>
      </c>
      <c r="B76" s="46">
        <v>0.1737698</v>
      </c>
      <c r="C76" s="545">
        <f t="shared" si="7"/>
        <v>1.7137838858148223E-3</v>
      </c>
      <c r="D76" s="46">
        <v>8.0051869999999997E-2</v>
      </c>
      <c r="E76" s="545">
        <f t="shared" si="8"/>
        <v>7.4707524832253922E-4</v>
      </c>
      <c r="F76" s="46">
        <v>2.4937245100000003</v>
      </c>
      <c r="G76" s="46"/>
      <c r="H76" s="494">
        <f t="shared" si="9"/>
        <v>2.4937245100000003</v>
      </c>
      <c r="I76" s="545">
        <f t="shared" si="10"/>
        <v>2.1802958243559357E-2</v>
      </c>
      <c r="J76" s="545">
        <f t="shared" si="11"/>
        <v>0</v>
      </c>
      <c r="K76" s="494">
        <f t="shared" si="12"/>
        <v>3015.1358612859394</v>
      </c>
      <c r="L76" s="546">
        <f t="shared" si="13"/>
        <v>1335.0735916137328</v>
      </c>
      <c r="M76" s="327"/>
      <c r="N76" s="327"/>
      <c r="T76" s="33"/>
      <c r="U76" s="189"/>
      <c r="V76" s="189"/>
      <c r="W76" s="189"/>
      <c r="X76" s="189"/>
      <c r="AE76" s="17"/>
      <c r="AL76" s="548"/>
    </row>
    <row r="77" spans="1:38" s="30" customFormat="1" x14ac:dyDescent="0.25">
      <c r="A77" s="21" t="s">
        <v>928</v>
      </c>
      <c r="B77" s="46">
        <v>6.2114495600000001</v>
      </c>
      <c r="C77" s="545">
        <f t="shared" si="7"/>
        <v>6.1259678974594951E-2</v>
      </c>
      <c r="D77" s="46">
        <v>2.0055559000000005</v>
      </c>
      <c r="E77" s="545">
        <f t="shared" si="8"/>
        <v>1.8716629255721748E-2</v>
      </c>
      <c r="F77" s="46">
        <v>1.2351999300000001</v>
      </c>
      <c r="G77" s="46">
        <v>1.2333361199999999</v>
      </c>
      <c r="H77" s="494">
        <f t="shared" si="9"/>
        <v>2.46853605</v>
      </c>
      <c r="I77" s="545">
        <f t="shared" si="10"/>
        <v>1.0799513895076341E-2</v>
      </c>
      <c r="J77" s="545">
        <f t="shared" si="11"/>
        <v>1.0783218361451446E-2</v>
      </c>
      <c r="K77" s="494">
        <f t="shared" si="12"/>
        <v>23.084878860768686</v>
      </c>
      <c r="L77" s="546">
        <f t="shared" si="13"/>
        <v>-60.258293556842467</v>
      </c>
      <c r="M77" s="327"/>
      <c r="N77" s="327"/>
      <c r="T77" s="33"/>
      <c r="U77" s="189"/>
      <c r="V77" s="189"/>
      <c r="W77" s="189"/>
      <c r="X77" s="189"/>
      <c r="AE77" s="17"/>
      <c r="AL77" s="548"/>
    </row>
    <row r="78" spans="1:38" s="30" customFormat="1" x14ac:dyDescent="0.25">
      <c r="A78" s="21" t="s">
        <v>949</v>
      </c>
      <c r="B78" s="46">
        <v>1.5805327999999998</v>
      </c>
      <c r="C78" s="545">
        <f t="shared" si="7"/>
        <v>1.5587815855469599E-2</v>
      </c>
      <c r="D78" s="46">
        <v>2.8588306999999999</v>
      </c>
      <c r="E78" s="545">
        <f t="shared" si="8"/>
        <v>2.6679722224035474E-2</v>
      </c>
      <c r="F78" s="46">
        <v>0.74306215999999981</v>
      </c>
      <c r="G78" s="46">
        <v>1.6175945900000002</v>
      </c>
      <c r="H78" s="494">
        <f t="shared" si="9"/>
        <v>2.36065675</v>
      </c>
      <c r="I78" s="545">
        <f t="shared" si="10"/>
        <v>6.4966892621386701E-3</v>
      </c>
      <c r="J78" s="545">
        <f t="shared" si="11"/>
        <v>1.414284022126306E-2</v>
      </c>
      <c r="K78" s="494">
        <f t="shared" si="12"/>
        <v>-17.425794049294353</v>
      </c>
      <c r="L78" s="546">
        <f t="shared" si="13"/>
        <v>49.358289179446338</v>
      </c>
      <c r="M78" s="327"/>
      <c r="N78" s="327"/>
      <c r="T78" s="33"/>
      <c r="U78" s="189"/>
      <c r="V78" s="189"/>
      <c r="W78" s="189"/>
      <c r="X78" s="189"/>
      <c r="AE78" s="17"/>
      <c r="AL78" s="548"/>
    </row>
    <row r="79" spans="1:38" s="30" customFormat="1" x14ac:dyDescent="0.25">
      <c r="A79" s="21" t="s">
        <v>858</v>
      </c>
      <c r="B79" s="46">
        <v>0.71339087000000001</v>
      </c>
      <c r="C79" s="545">
        <f t="shared" si="7"/>
        <v>7.0357322002638943E-3</v>
      </c>
      <c r="D79" s="46">
        <v>1.4018657000000001</v>
      </c>
      <c r="E79" s="545">
        <f t="shared" si="8"/>
        <v>1.3082757041682477E-2</v>
      </c>
      <c r="F79" s="46">
        <v>2.1080905099999998</v>
      </c>
      <c r="G79" s="46">
        <v>2.2694309999999999E-2</v>
      </c>
      <c r="H79" s="494">
        <f t="shared" si="9"/>
        <v>2.1307848199999997</v>
      </c>
      <c r="I79" s="545">
        <f t="shared" si="10"/>
        <v>1.8431309945770129E-2</v>
      </c>
      <c r="J79" s="545">
        <f t="shared" si="11"/>
        <v>1.9841930867351164E-4</v>
      </c>
      <c r="K79" s="494">
        <f t="shared" si="12"/>
        <v>51.996358852349367</v>
      </c>
      <c r="L79" s="546">
        <f t="shared" si="13"/>
        <v>198.68406081507598</v>
      </c>
      <c r="M79" s="327"/>
      <c r="N79" s="327"/>
      <c r="T79" s="33"/>
      <c r="U79" s="189"/>
      <c r="V79" s="189"/>
      <c r="W79" s="189"/>
      <c r="X79" s="189"/>
      <c r="AE79" s="17"/>
      <c r="AL79" s="548"/>
    </row>
    <row r="80" spans="1:38" s="30" customFormat="1" x14ac:dyDescent="0.25">
      <c r="A80" s="21" t="s">
        <v>757</v>
      </c>
      <c r="B80" s="46">
        <v>3.2628241999999998</v>
      </c>
      <c r="C80" s="545">
        <f t="shared" si="7"/>
        <v>3.2179213742587254E-2</v>
      </c>
      <c r="D80" s="46">
        <v>2.6629235000000002</v>
      </c>
      <c r="E80" s="545">
        <f t="shared" si="8"/>
        <v>2.4851439885494563E-2</v>
      </c>
      <c r="F80" s="46">
        <v>2.1214780000000002</v>
      </c>
      <c r="G80" s="46"/>
      <c r="H80" s="494">
        <f t="shared" si="9"/>
        <v>2.1214780000000002</v>
      </c>
      <c r="I80" s="545">
        <f t="shared" si="10"/>
        <v>1.8548358514802351E-2</v>
      </c>
      <c r="J80" s="545">
        <f t="shared" si="11"/>
        <v>0</v>
      </c>
      <c r="K80" s="494">
        <f t="shared" si="12"/>
        <v>-20.332747072906898</v>
      </c>
      <c r="L80" s="546">
        <f t="shared" si="13"/>
        <v>-34.980315519297655</v>
      </c>
      <c r="M80" s="327"/>
      <c r="N80" s="327"/>
      <c r="T80" s="33"/>
      <c r="U80" s="189"/>
      <c r="V80" s="189"/>
      <c r="W80" s="189"/>
      <c r="X80" s="189"/>
      <c r="AE80" s="17"/>
      <c r="AL80" s="548"/>
    </row>
    <row r="81" spans="1:38" s="30" customFormat="1" x14ac:dyDescent="0.25">
      <c r="A81" s="21" t="s">
        <v>975</v>
      </c>
      <c r="B81" s="46">
        <v>0.82854992000000005</v>
      </c>
      <c r="C81" s="545">
        <f t="shared" si="7"/>
        <v>8.1714745685910906E-3</v>
      </c>
      <c r="D81" s="46">
        <v>1.47011677</v>
      </c>
      <c r="E81" s="545">
        <f t="shared" si="8"/>
        <v>1.3719702625446218E-2</v>
      </c>
      <c r="F81" s="46">
        <v>2.0101962800000002</v>
      </c>
      <c r="G81" s="46"/>
      <c r="H81" s="494">
        <f t="shared" si="9"/>
        <v>2.0101962800000002</v>
      </c>
      <c r="I81" s="545">
        <f t="shared" si="10"/>
        <v>1.7575407940389677E-2</v>
      </c>
      <c r="J81" s="545">
        <f t="shared" si="11"/>
        <v>0</v>
      </c>
      <c r="K81" s="494">
        <f t="shared" si="12"/>
        <v>36.737184489093352</v>
      </c>
      <c r="L81" s="546">
        <f t="shared" si="13"/>
        <v>142.61619384381814</v>
      </c>
      <c r="M81" s="327"/>
      <c r="N81" s="327"/>
      <c r="T81" s="33"/>
      <c r="U81" s="189"/>
      <c r="V81" s="189"/>
      <c r="W81" s="189"/>
      <c r="X81" s="189"/>
      <c r="AE81" s="17"/>
      <c r="AL81" s="548"/>
    </row>
    <row r="82" spans="1:38" s="30" customFormat="1" x14ac:dyDescent="0.25">
      <c r="A82" s="21" t="s">
        <v>953</v>
      </c>
      <c r="B82" s="46">
        <v>1.8287965899999998</v>
      </c>
      <c r="C82" s="545">
        <f t="shared" si="7"/>
        <v>1.8036287815115723E-2</v>
      </c>
      <c r="D82" s="46">
        <v>1.6587730900000002</v>
      </c>
      <c r="E82" s="545">
        <f t="shared" si="8"/>
        <v>1.5480316926044273E-2</v>
      </c>
      <c r="F82" s="46">
        <v>1.7045077399999999</v>
      </c>
      <c r="G82" s="46">
        <v>4.6440989999999994E-2</v>
      </c>
      <c r="H82" s="494">
        <f t="shared" si="9"/>
        <v>1.75094873</v>
      </c>
      <c r="I82" s="545">
        <f t="shared" si="10"/>
        <v>1.4902733213719637E-2</v>
      </c>
      <c r="J82" s="545">
        <f t="shared" si="11"/>
        <v>4.0603962534721105E-4</v>
      </c>
      <c r="K82" s="494">
        <f t="shared" si="12"/>
        <v>5.5568564836073975</v>
      </c>
      <c r="L82" s="546">
        <f t="shared" si="13"/>
        <v>-4.2567806843953004</v>
      </c>
      <c r="M82" s="327"/>
      <c r="N82" s="327"/>
      <c r="T82" s="33"/>
      <c r="U82" s="189"/>
      <c r="V82" s="189"/>
      <c r="W82" s="189"/>
      <c r="X82" s="189"/>
      <c r="AE82" s="17"/>
      <c r="AL82" s="548"/>
    </row>
    <row r="83" spans="1:38" s="30" customFormat="1" x14ac:dyDescent="0.25">
      <c r="A83" s="21" t="s">
        <v>862</v>
      </c>
      <c r="B83" s="46">
        <v>3.7225687599999997</v>
      </c>
      <c r="C83" s="545">
        <f t="shared" si="7"/>
        <v>3.6713389522953152E-2</v>
      </c>
      <c r="D83" s="46">
        <v>0.34651570999999998</v>
      </c>
      <c r="E83" s="545">
        <f t="shared" si="8"/>
        <v>3.2338196483843664E-3</v>
      </c>
      <c r="F83" s="46">
        <v>4.9260339999999993E-2</v>
      </c>
      <c r="G83" s="46">
        <v>1.6224584800000001</v>
      </c>
      <c r="H83" s="494">
        <f t="shared" si="9"/>
        <v>1.6717188200000002</v>
      </c>
      <c r="I83" s="545">
        <f t="shared" si="10"/>
        <v>4.3068956966843807E-4</v>
      </c>
      <c r="J83" s="545">
        <f t="shared" si="11"/>
        <v>1.4185365845142527E-2</v>
      </c>
      <c r="K83" s="494">
        <f t="shared" si="12"/>
        <v>382.43666066395673</v>
      </c>
      <c r="L83" s="546">
        <f t="shared" si="13"/>
        <v>-55.092331994963594</v>
      </c>
      <c r="M83" s="327"/>
      <c r="N83" s="327"/>
      <c r="T83" s="33"/>
      <c r="U83" s="189"/>
      <c r="V83" s="189"/>
      <c r="W83" s="189"/>
      <c r="X83" s="189"/>
      <c r="AE83" s="17"/>
      <c r="AL83" s="548"/>
    </row>
    <row r="84" spans="1:38" s="30" customFormat="1" x14ac:dyDescent="0.25">
      <c r="A84" s="21" t="s">
        <v>909</v>
      </c>
      <c r="B84" s="46">
        <v>6.4599999999999998E-4</v>
      </c>
      <c r="C84" s="545">
        <f t="shared" si="7"/>
        <v>6.3710977985609422E-6</v>
      </c>
      <c r="D84" s="46">
        <v>0.37459085000000003</v>
      </c>
      <c r="E84" s="545">
        <f t="shared" si="8"/>
        <v>3.4958277961914079E-3</v>
      </c>
      <c r="F84" s="46">
        <v>1.6362203700000002</v>
      </c>
      <c r="G84" s="46"/>
      <c r="H84" s="494">
        <f t="shared" si="9"/>
        <v>1.6362203700000002</v>
      </c>
      <c r="I84" s="545">
        <f t="shared" si="10"/>
        <v>1.4305687842147103E-2</v>
      </c>
      <c r="J84" s="545">
        <f t="shared" si="11"/>
        <v>0</v>
      </c>
      <c r="K84" s="494">
        <f t="shared" si="12"/>
        <v>336.80201211535194</v>
      </c>
      <c r="L84" s="546">
        <f t="shared" si="13"/>
        <v>253184.88699690407</v>
      </c>
      <c r="M84" s="327"/>
      <c r="N84" s="327"/>
      <c r="T84" s="33"/>
      <c r="U84" s="189"/>
      <c r="V84" s="189"/>
      <c r="W84" s="189"/>
      <c r="X84" s="189"/>
      <c r="AE84" s="17"/>
      <c r="AL84" s="548"/>
    </row>
    <row r="85" spans="1:38" s="30" customFormat="1" x14ac:dyDescent="0.25">
      <c r="A85" s="21" t="s">
        <v>960</v>
      </c>
      <c r="B85" s="46">
        <v>2.35697117</v>
      </c>
      <c r="C85" s="545">
        <f t="shared" si="7"/>
        <v>2.3245346489874006E-2</v>
      </c>
      <c r="D85" s="46">
        <v>1.5039717199999996</v>
      </c>
      <c r="E85" s="545">
        <f t="shared" si="8"/>
        <v>1.4035650212656819E-2</v>
      </c>
      <c r="F85" s="46">
        <v>1.61451119</v>
      </c>
      <c r="G85" s="46"/>
      <c r="H85" s="494">
        <f t="shared" si="9"/>
        <v>1.61451119</v>
      </c>
      <c r="I85" s="545">
        <f t="shared" si="10"/>
        <v>1.4115881653394556E-2</v>
      </c>
      <c r="J85" s="545">
        <f t="shared" si="11"/>
        <v>0</v>
      </c>
      <c r="K85" s="494">
        <f t="shared" si="12"/>
        <v>7.3498370035841143</v>
      </c>
      <c r="L85" s="546">
        <f t="shared" si="13"/>
        <v>-31.50059658981743</v>
      </c>
      <c r="M85" s="327"/>
      <c r="N85" s="327"/>
      <c r="T85" s="33"/>
      <c r="U85" s="189"/>
      <c r="V85" s="189"/>
      <c r="W85" s="189"/>
      <c r="X85" s="189"/>
      <c r="AE85" s="17"/>
      <c r="AL85" s="548"/>
    </row>
    <row r="86" spans="1:38" s="30" customFormat="1" x14ac:dyDescent="0.25">
      <c r="A86" s="21" t="s">
        <v>796</v>
      </c>
      <c r="B86" s="46">
        <v>1.60415745</v>
      </c>
      <c r="C86" s="545">
        <f t="shared" si="7"/>
        <v>1.5820811142786585E-2</v>
      </c>
      <c r="D86" s="46">
        <v>1.7988224100000001</v>
      </c>
      <c r="E86" s="545">
        <f t="shared" si="8"/>
        <v>1.6787311759724022E-2</v>
      </c>
      <c r="F86" s="46">
        <v>1.5931737699999999</v>
      </c>
      <c r="G86" s="46"/>
      <c r="H86" s="494">
        <f t="shared" si="9"/>
        <v>1.5931737699999999</v>
      </c>
      <c r="I86" s="545">
        <f t="shared" si="10"/>
        <v>1.3929325810750457E-2</v>
      </c>
      <c r="J86" s="545">
        <f t="shared" si="11"/>
        <v>0</v>
      </c>
      <c r="K86" s="494">
        <f t="shared" si="12"/>
        <v>-11.432403713493876</v>
      </c>
      <c r="L86" s="546">
        <f t="shared" si="13"/>
        <v>-0.68470086898265725</v>
      </c>
      <c r="M86" s="327"/>
      <c r="N86" s="327"/>
      <c r="T86" s="33"/>
      <c r="U86" s="189"/>
      <c r="V86" s="189"/>
      <c r="W86" s="189"/>
      <c r="X86" s="189"/>
      <c r="AE86" s="17"/>
      <c r="AL86" s="548"/>
    </row>
    <row r="87" spans="1:38" s="30" customFormat="1" x14ac:dyDescent="0.25">
      <c r="A87" s="21" t="s">
        <v>969</v>
      </c>
      <c r="B87" s="46">
        <v>3.1967924799999996</v>
      </c>
      <c r="C87" s="545">
        <f t="shared" si="7"/>
        <v>3.1527983795331539E-2</v>
      </c>
      <c r="D87" s="46">
        <v>2.0794581499999998</v>
      </c>
      <c r="E87" s="545">
        <f t="shared" si="8"/>
        <v>1.9406313853599897E-2</v>
      </c>
      <c r="F87" s="46">
        <v>1.0800860200000002</v>
      </c>
      <c r="G87" s="46">
        <v>0.46479574000000012</v>
      </c>
      <c r="H87" s="494">
        <f t="shared" si="9"/>
        <v>1.5448817600000004</v>
      </c>
      <c r="I87" s="545">
        <f t="shared" si="10"/>
        <v>9.4433327735597462E-3</v>
      </c>
      <c r="J87" s="545">
        <f t="shared" si="11"/>
        <v>4.0637697028547363E-3</v>
      </c>
      <c r="K87" s="494">
        <f t="shared" si="12"/>
        <v>-25.707484904180422</v>
      </c>
      <c r="L87" s="546">
        <f t="shared" si="13"/>
        <v>-51.674005439352122</v>
      </c>
      <c r="M87" s="327"/>
      <c r="N87" s="327"/>
      <c r="T87" s="33"/>
      <c r="U87" s="189"/>
      <c r="V87" s="189"/>
      <c r="W87" s="189"/>
      <c r="X87" s="189"/>
      <c r="AE87" s="17"/>
      <c r="AL87" s="548"/>
    </row>
    <row r="88" spans="1:38" s="30" customFormat="1" x14ac:dyDescent="0.25">
      <c r="A88" s="21" t="s">
        <v>912</v>
      </c>
      <c r="B88" s="46">
        <v>6.0461008500000002</v>
      </c>
      <c r="C88" s="545">
        <f t="shared" si="7"/>
        <v>5.9628947082527001E-2</v>
      </c>
      <c r="D88" s="46">
        <v>1.4012837299999998</v>
      </c>
      <c r="E88" s="545">
        <f t="shared" si="8"/>
        <v>1.3077325870839544E-2</v>
      </c>
      <c r="F88" s="46">
        <v>0.21628115999999997</v>
      </c>
      <c r="G88" s="46">
        <v>1.30247917</v>
      </c>
      <c r="H88" s="494">
        <f t="shared" si="9"/>
        <v>1.5187603300000001</v>
      </c>
      <c r="I88" s="545">
        <f t="shared" si="10"/>
        <v>1.890974356404982E-3</v>
      </c>
      <c r="J88" s="545">
        <f t="shared" si="11"/>
        <v>1.1387745054731746E-2</v>
      </c>
      <c r="K88" s="494">
        <f t="shared" si="12"/>
        <v>8.3834984653679214</v>
      </c>
      <c r="L88" s="546">
        <f t="shared" si="13"/>
        <v>-74.880334157839926</v>
      </c>
      <c r="M88" s="327"/>
      <c r="N88" s="327"/>
      <c r="T88" s="33"/>
      <c r="U88" s="189"/>
      <c r="V88" s="189"/>
      <c r="W88" s="189"/>
      <c r="X88" s="189"/>
      <c r="AE88" s="17"/>
      <c r="AL88" s="548"/>
    </row>
    <row r="89" spans="1:38" s="30" customFormat="1" x14ac:dyDescent="0.25">
      <c r="A89" s="21" t="s">
        <v>918</v>
      </c>
      <c r="B89" s="46">
        <v>9.3702906300000013</v>
      </c>
      <c r="C89" s="545">
        <f t="shared" si="7"/>
        <v>9.2413371524255786E-2</v>
      </c>
      <c r="D89" s="46">
        <v>2.3485918699999999</v>
      </c>
      <c r="E89" s="545">
        <f t="shared" si="8"/>
        <v>2.1917974614316275E-2</v>
      </c>
      <c r="F89" s="46">
        <v>0.54712190999999999</v>
      </c>
      <c r="G89" s="46">
        <v>0.92949753999999996</v>
      </c>
      <c r="H89" s="494">
        <f t="shared" si="9"/>
        <v>1.4766194499999998</v>
      </c>
      <c r="I89" s="545">
        <f t="shared" si="10"/>
        <v>4.7835581316343721E-3</v>
      </c>
      <c r="J89" s="545">
        <f t="shared" si="11"/>
        <v>8.1267180760520898E-3</v>
      </c>
      <c r="K89" s="494">
        <f t="shared" si="12"/>
        <v>-37.127456291501169</v>
      </c>
      <c r="L89" s="546">
        <f t="shared" si="13"/>
        <v>-84.241476510104789</v>
      </c>
      <c r="M89" s="327"/>
      <c r="N89" s="327"/>
      <c r="T89" s="33"/>
      <c r="U89" s="189"/>
      <c r="V89" s="189"/>
      <c r="W89" s="189"/>
      <c r="X89" s="189"/>
      <c r="AE89" s="17"/>
      <c r="AL89" s="548"/>
    </row>
    <row r="90" spans="1:38" s="30" customFormat="1" x14ac:dyDescent="0.25">
      <c r="A90" s="21" t="s">
        <v>905</v>
      </c>
      <c r="B90" s="46">
        <v>2.1294382299999999</v>
      </c>
      <c r="C90" s="545">
        <f t="shared" si="7"/>
        <v>2.1001330060873853E-2</v>
      </c>
      <c r="D90" s="46">
        <v>0.92811836000000003</v>
      </c>
      <c r="E90" s="545">
        <f t="shared" si="8"/>
        <v>8.6615622379553146E-3</v>
      </c>
      <c r="F90" s="46">
        <v>1.36789425</v>
      </c>
      <c r="G90" s="46">
        <v>0.10096366999999999</v>
      </c>
      <c r="H90" s="494">
        <f t="shared" si="9"/>
        <v>1.46885792</v>
      </c>
      <c r="I90" s="545">
        <f t="shared" si="10"/>
        <v>1.1959677620666664E-2</v>
      </c>
      <c r="J90" s="545">
        <f t="shared" si="11"/>
        <v>8.8273851915041991E-4</v>
      </c>
      <c r="K90" s="494">
        <f t="shared" si="12"/>
        <v>58.261918232066854</v>
      </c>
      <c r="L90" s="546">
        <f t="shared" si="13"/>
        <v>-31.021341717904626</v>
      </c>
      <c r="M90" s="327"/>
      <c r="N90" s="327"/>
      <c r="T90" s="33"/>
      <c r="U90" s="189"/>
      <c r="V90" s="189"/>
      <c r="W90" s="189"/>
      <c r="X90" s="189"/>
      <c r="AE90" s="17"/>
      <c r="AL90" s="548"/>
    </row>
    <row r="91" spans="1:38" s="30" customFormat="1" x14ac:dyDescent="0.25">
      <c r="A91" s="21" t="s">
        <v>761</v>
      </c>
      <c r="B91" s="46">
        <v>5.4542889999999997E-2</v>
      </c>
      <c r="C91" s="545">
        <f t="shared" si="7"/>
        <v>5.3792273437484775E-4</v>
      </c>
      <c r="D91" s="46">
        <v>1.1908510000000001E-2</v>
      </c>
      <c r="E91" s="545">
        <f t="shared" si="8"/>
        <v>1.1113485625509363E-4</v>
      </c>
      <c r="F91" s="46">
        <v>1.39684338</v>
      </c>
      <c r="G91" s="46"/>
      <c r="H91" s="494">
        <f t="shared" si="9"/>
        <v>1.39684338</v>
      </c>
      <c r="I91" s="545">
        <f t="shared" si="10"/>
        <v>1.2212783635403381E-2</v>
      </c>
      <c r="J91" s="545">
        <f t="shared" si="11"/>
        <v>0</v>
      </c>
      <c r="K91" s="494">
        <f t="shared" si="12"/>
        <v>11629.79138448051</v>
      </c>
      <c r="L91" s="546">
        <f t="shared" si="13"/>
        <v>2460.9999396804974</v>
      </c>
      <c r="M91" s="327"/>
      <c r="N91" s="327"/>
      <c r="T91" s="33"/>
      <c r="U91" s="189"/>
      <c r="V91" s="189"/>
      <c r="W91" s="189"/>
      <c r="X91" s="189"/>
      <c r="AE91" s="17"/>
      <c r="AL91" s="548"/>
    </row>
    <row r="92" spans="1:38" s="30" customFormat="1" x14ac:dyDescent="0.25">
      <c r="A92" s="21" t="s">
        <v>968</v>
      </c>
      <c r="B92" s="46">
        <v>4.7352615599999996</v>
      </c>
      <c r="C92" s="545">
        <f t="shared" si="7"/>
        <v>4.6700951239204723E-2</v>
      </c>
      <c r="D92" s="46">
        <v>0.97600047999999995</v>
      </c>
      <c r="E92" s="545">
        <f t="shared" si="8"/>
        <v>9.1084168422163967E-3</v>
      </c>
      <c r="F92" s="46">
        <v>1.0462106099999999</v>
      </c>
      <c r="G92" s="46">
        <v>0.33523711</v>
      </c>
      <c r="H92" s="494">
        <f t="shared" si="9"/>
        <v>1.3814477199999999</v>
      </c>
      <c r="I92" s="545">
        <f t="shared" si="10"/>
        <v>9.1471556510461377E-3</v>
      </c>
      <c r="J92" s="545">
        <f t="shared" si="11"/>
        <v>2.9310217234146344E-3</v>
      </c>
      <c r="K92" s="494">
        <f t="shared" si="12"/>
        <v>41.541704979489346</v>
      </c>
      <c r="L92" s="546">
        <f t="shared" si="13"/>
        <v>-70.826369304085503</v>
      </c>
      <c r="M92" s="327"/>
      <c r="N92" s="327"/>
      <c r="T92" s="33"/>
      <c r="U92" s="189"/>
      <c r="V92" s="189"/>
      <c r="W92" s="189"/>
      <c r="X92" s="189"/>
      <c r="AE92" s="17"/>
      <c r="AL92" s="548"/>
    </row>
    <row r="93" spans="1:38" s="30" customFormat="1" x14ac:dyDescent="0.25">
      <c r="A93" s="21" t="s">
        <v>887</v>
      </c>
      <c r="B93" s="46">
        <v>0.19493858000000003</v>
      </c>
      <c r="C93" s="545">
        <f t="shared" si="7"/>
        <v>1.9225584487501492E-3</v>
      </c>
      <c r="D93" s="46">
        <v>2.1838783900000003</v>
      </c>
      <c r="E93" s="545">
        <f t="shared" si="8"/>
        <v>2.038080422750246E-2</v>
      </c>
      <c r="F93" s="46">
        <v>1.3269815099999995</v>
      </c>
      <c r="G93" s="46">
        <v>1.496567E-2</v>
      </c>
      <c r="H93" s="494">
        <f t="shared" si="9"/>
        <v>1.3419471799999996</v>
      </c>
      <c r="I93" s="545">
        <f t="shared" si="10"/>
        <v>1.1601972205223797E-2</v>
      </c>
      <c r="J93" s="545">
        <f t="shared" si="11"/>
        <v>1.3084680235864906E-4</v>
      </c>
      <c r="K93" s="494">
        <f t="shared" si="12"/>
        <v>-38.552110495493316</v>
      </c>
      <c r="L93" s="546">
        <f t="shared" si="13"/>
        <v>588.39486775783394</v>
      </c>
      <c r="M93" s="327"/>
      <c r="N93" s="327"/>
      <c r="T93" s="33"/>
      <c r="U93" s="189"/>
      <c r="V93" s="189"/>
      <c r="W93" s="189"/>
      <c r="X93" s="189"/>
      <c r="AE93" s="17"/>
      <c r="AL93" s="548"/>
    </row>
    <row r="94" spans="1:38" s="30" customFormat="1" x14ac:dyDescent="0.25">
      <c r="A94" s="21" t="s">
        <v>947</v>
      </c>
      <c r="B94" s="46">
        <v>7.9684887399999997</v>
      </c>
      <c r="C94" s="545">
        <f t="shared" si="7"/>
        <v>7.8588267909089252E-2</v>
      </c>
      <c r="D94" s="46">
        <v>0.12128504</v>
      </c>
      <c r="E94" s="545">
        <f t="shared" si="8"/>
        <v>1.1318792599824227E-3</v>
      </c>
      <c r="F94" s="46">
        <v>1.1474530699999999</v>
      </c>
      <c r="G94" s="46">
        <v>8.3878799999999986E-3</v>
      </c>
      <c r="H94" s="494">
        <f t="shared" si="9"/>
        <v>1.1558409499999998</v>
      </c>
      <c r="I94" s="545">
        <f t="shared" si="10"/>
        <v>1.0032331667483987E-2</v>
      </c>
      <c r="J94" s="545">
        <f t="shared" si="11"/>
        <v>7.3336327512771898E-5</v>
      </c>
      <c r="K94" s="494">
        <f t="shared" si="12"/>
        <v>852.995480728703</v>
      </c>
      <c r="L94" s="546">
        <f t="shared" si="13"/>
        <v>-85.494853695432354</v>
      </c>
      <c r="M94" s="327"/>
      <c r="N94" s="327"/>
      <c r="T94" s="33"/>
      <c r="U94" s="189"/>
      <c r="V94" s="189"/>
      <c r="W94" s="189"/>
      <c r="X94" s="189"/>
      <c r="AE94" s="17"/>
      <c r="AL94" s="548"/>
    </row>
    <row r="95" spans="1:38" s="30" customFormat="1" x14ac:dyDescent="0.25">
      <c r="A95" s="21" t="s">
        <v>759</v>
      </c>
      <c r="B95" s="46">
        <v>0.37916460000000002</v>
      </c>
      <c r="C95" s="545">
        <f t="shared" si="7"/>
        <v>3.7394655547248303E-3</v>
      </c>
      <c r="D95" s="46">
        <v>0.49225055000000001</v>
      </c>
      <c r="E95" s="545">
        <f t="shared" si="8"/>
        <v>4.5938739704413714E-3</v>
      </c>
      <c r="F95" s="46">
        <v>1.13852</v>
      </c>
      <c r="G95" s="46"/>
      <c r="H95" s="494">
        <f t="shared" si="9"/>
        <v>1.13852</v>
      </c>
      <c r="I95" s="545">
        <f t="shared" si="10"/>
        <v>9.9542286727803773E-3</v>
      </c>
      <c r="J95" s="545">
        <f t="shared" si="11"/>
        <v>0</v>
      </c>
      <c r="K95" s="494">
        <f t="shared" si="12"/>
        <v>131.28872075409564</v>
      </c>
      <c r="L95" s="546">
        <f t="shared" si="13"/>
        <v>200.27064762902441</v>
      </c>
      <c r="M95" s="327"/>
      <c r="N95" s="327"/>
      <c r="T95" s="33"/>
      <c r="U95" s="189"/>
      <c r="V95" s="189"/>
      <c r="W95" s="189"/>
      <c r="X95" s="189"/>
      <c r="AE95" s="17"/>
      <c r="AL95" s="548"/>
    </row>
    <row r="96" spans="1:38" s="30" customFormat="1" x14ac:dyDescent="0.25">
      <c r="A96" s="21" t="s">
        <v>871</v>
      </c>
      <c r="B96" s="46">
        <v>4.8362674400000003</v>
      </c>
      <c r="C96" s="545">
        <f t="shared" si="7"/>
        <v>4.7697109659808001E-2</v>
      </c>
      <c r="D96" s="46">
        <v>1.4852878599999999</v>
      </c>
      <c r="E96" s="545">
        <f t="shared" si="8"/>
        <v>1.3861285149740447E-2</v>
      </c>
      <c r="F96" s="46">
        <v>1.1354234500000002</v>
      </c>
      <c r="G96" s="46"/>
      <c r="H96" s="494">
        <f t="shared" si="9"/>
        <v>1.1354234500000002</v>
      </c>
      <c r="I96" s="545">
        <f t="shared" si="10"/>
        <v>9.9271551327488484E-3</v>
      </c>
      <c r="J96" s="545">
        <f t="shared" si="11"/>
        <v>0</v>
      </c>
      <c r="K96" s="494">
        <f t="shared" si="12"/>
        <v>-23.555326844184922</v>
      </c>
      <c r="L96" s="546">
        <f t="shared" si="13"/>
        <v>-76.522732373956543</v>
      </c>
      <c r="M96" s="327"/>
      <c r="N96" s="327"/>
      <c r="T96" s="33"/>
      <c r="U96" s="189"/>
      <c r="V96" s="189"/>
      <c r="W96" s="189"/>
      <c r="X96" s="189"/>
      <c r="AE96" s="17"/>
      <c r="AL96" s="548"/>
    </row>
    <row r="97" spans="1:38" s="30" customFormat="1" x14ac:dyDescent="0.25">
      <c r="A97" s="21" t="s">
        <v>959</v>
      </c>
      <c r="B97" s="46">
        <v>2.0011475700000001</v>
      </c>
      <c r="C97" s="545">
        <f t="shared" si="7"/>
        <v>1.9736078758239288E-2</v>
      </c>
      <c r="D97" s="46">
        <v>0.66902971999999983</v>
      </c>
      <c r="E97" s="545">
        <f t="shared" si="8"/>
        <v>6.2436460785258198E-3</v>
      </c>
      <c r="F97" s="46">
        <v>1.1111948899999999</v>
      </c>
      <c r="G97" s="46">
        <v>1.0280199999999999E-3</v>
      </c>
      <c r="H97" s="494">
        <f t="shared" si="9"/>
        <v>1.1122229099999998</v>
      </c>
      <c r="I97" s="545">
        <f t="shared" si="10"/>
        <v>9.7153216764615784E-3</v>
      </c>
      <c r="J97" s="545">
        <f t="shared" si="11"/>
        <v>8.988112778160843E-6</v>
      </c>
      <c r="K97" s="494">
        <f t="shared" si="12"/>
        <v>66.24417073728803</v>
      </c>
      <c r="L97" s="546">
        <f t="shared" si="13"/>
        <v>-44.420745042805621</v>
      </c>
      <c r="M97" s="327"/>
      <c r="N97" s="327"/>
      <c r="T97" s="33"/>
      <c r="U97" s="189"/>
      <c r="V97" s="189"/>
      <c r="W97" s="189"/>
      <c r="X97" s="189"/>
      <c r="AE97" s="17"/>
      <c r="AL97" s="548"/>
    </row>
    <row r="98" spans="1:38" s="30" customFormat="1" x14ac:dyDescent="0.25">
      <c r="A98" s="21" t="s">
        <v>829</v>
      </c>
      <c r="B98" s="46">
        <v>5.3777129999999999E-2</v>
      </c>
      <c r="C98" s="545">
        <f t="shared" si="7"/>
        <v>5.3037051788842968E-4</v>
      </c>
      <c r="D98" s="46">
        <v>3.281887E-2</v>
      </c>
      <c r="E98" s="545">
        <f t="shared" si="8"/>
        <v>3.0627848487380912E-4</v>
      </c>
      <c r="F98" s="46">
        <v>5.6592589999999998E-2</v>
      </c>
      <c r="G98" s="46">
        <v>1.0108846300000001</v>
      </c>
      <c r="H98" s="494">
        <f t="shared" si="9"/>
        <v>1.06747722</v>
      </c>
      <c r="I98" s="545">
        <f t="shared" si="10"/>
        <v>4.9479638657634834E-4</v>
      </c>
      <c r="J98" s="545">
        <f t="shared" si="11"/>
        <v>8.8382960060596066E-3</v>
      </c>
      <c r="K98" s="494">
        <f t="shared" si="12"/>
        <v>3152.6324641890474</v>
      </c>
      <c r="L98" s="546">
        <f t="shared" si="13"/>
        <v>1885.0022119068085</v>
      </c>
      <c r="M98" s="327"/>
      <c r="N98" s="327"/>
      <c r="T98" s="33"/>
      <c r="U98" s="189"/>
      <c r="V98" s="189"/>
      <c r="W98" s="189"/>
      <c r="X98" s="189"/>
      <c r="AE98" s="17"/>
      <c r="AL98" s="548"/>
    </row>
    <row r="99" spans="1:38" s="30" customFormat="1" x14ac:dyDescent="0.25">
      <c r="A99" s="21" t="s">
        <v>902</v>
      </c>
      <c r="B99" s="46">
        <v>0.45958589999999999</v>
      </c>
      <c r="C99" s="545">
        <f t="shared" si="7"/>
        <v>4.5326110150768562E-3</v>
      </c>
      <c r="D99" s="46">
        <v>0.15297057</v>
      </c>
      <c r="E99" s="545">
        <f t="shared" si="8"/>
        <v>1.4275809742956705E-3</v>
      </c>
      <c r="F99" s="46">
        <v>0.9218059099999999</v>
      </c>
      <c r="G99" s="46">
        <v>2.6486330000000002E-2</v>
      </c>
      <c r="H99" s="494">
        <f t="shared" si="9"/>
        <v>0.9482922399999999</v>
      </c>
      <c r="I99" s="545">
        <f t="shared" si="10"/>
        <v>8.0594691529884462E-3</v>
      </c>
      <c r="J99" s="545">
        <f t="shared" si="11"/>
        <v>2.3157343351256292E-4</v>
      </c>
      <c r="K99" s="494">
        <f t="shared" si="12"/>
        <v>519.91809274162995</v>
      </c>
      <c r="L99" s="546">
        <f t="shared" si="13"/>
        <v>106.33623442320572</v>
      </c>
      <c r="M99" s="327"/>
      <c r="N99" s="327"/>
      <c r="T99" s="33"/>
      <c r="U99" s="189"/>
      <c r="V99" s="189"/>
      <c r="W99" s="189"/>
      <c r="X99" s="189"/>
      <c r="AE99" s="17"/>
      <c r="AL99" s="548"/>
    </row>
    <row r="100" spans="1:38" s="30" customFormat="1" x14ac:dyDescent="0.25">
      <c r="A100" s="21" t="s">
        <v>899</v>
      </c>
      <c r="B100" s="46">
        <v>6.8565900000000001E-3</v>
      </c>
      <c r="C100" s="545">
        <f t="shared" si="7"/>
        <v>6.7622299465379222E-5</v>
      </c>
      <c r="D100" s="46">
        <v>6.6730639400000005</v>
      </c>
      <c r="E100" s="545">
        <f t="shared" si="8"/>
        <v>6.2275633286863655E-2</v>
      </c>
      <c r="F100" s="46">
        <v>0.94310353000000002</v>
      </c>
      <c r="G100" s="46"/>
      <c r="H100" s="494">
        <f t="shared" si="9"/>
        <v>0.94310353000000002</v>
      </c>
      <c r="I100" s="545">
        <f t="shared" si="10"/>
        <v>8.2456770190478777E-3</v>
      </c>
      <c r="J100" s="545">
        <f t="shared" si="11"/>
        <v>0</v>
      </c>
      <c r="K100" s="494">
        <f t="shared" si="12"/>
        <v>-85.867008941023286</v>
      </c>
      <c r="L100" s="546">
        <f t="shared" si="13"/>
        <v>13654.702118691654</v>
      </c>
      <c r="M100" s="327"/>
      <c r="N100" s="327"/>
      <c r="T100" s="33"/>
      <c r="U100" s="189"/>
      <c r="V100" s="189"/>
      <c r="W100" s="189"/>
      <c r="X100" s="189"/>
      <c r="AE100" s="17"/>
      <c r="AL100" s="548"/>
    </row>
    <row r="101" spans="1:38" s="30" customFormat="1" x14ac:dyDescent="0.25">
      <c r="A101" s="21" t="s">
        <v>838</v>
      </c>
      <c r="B101" s="46">
        <v>1.7622286999999999</v>
      </c>
      <c r="C101" s="545">
        <f t="shared" si="7"/>
        <v>1.7379769955311007E-2</v>
      </c>
      <c r="D101" s="46">
        <v>0.74196856</v>
      </c>
      <c r="E101" s="545">
        <f t="shared" si="8"/>
        <v>6.9243397588278303E-3</v>
      </c>
      <c r="F101" s="46">
        <v>0.92195364999999996</v>
      </c>
      <c r="G101" s="46"/>
      <c r="H101" s="494">
        <f t="shared" si="9"/>
        <v>0.92195364999999996</v>
      </c>
      <c r="I101" s="545">
        <f t="shared" si="10"/>
        <v>8.0607608630542497E-3</v>
      </c>
      <c r="J101" s="545">
        <f t="shared" si="11"/>
        <v>0</v>
      </c>
      <c r="K101" s="494">
        <f t="shared" si="12"/>
        <v>24.257778523661422</v>
      </c>
      <c r="L101" s="546">
        <f t="shared" si="13"/>
        <v>-47.682519868164675</v>
      </c>
      <c r="M101" s="327"/>
      <c r="N101" s="327"/>
      <c r="T101" s="33"/>
      <c r="U101" s="189"/>
      <c r="V101" s="189"/>
      <c r="W101" s="189"/>
      <c r="X101" s="189"/>
      <c r="AE101" s="17"/>
      <c r="AL101" s="548"/>
    </row>
    <row r="102" spans="1:38" s="30" customFormat="1" x14ac:dyDescent="0.25">
      <c r="A102" s="21" t="s">
        <v>941</v>
      </c>
      <c r="B102" s="46">
        <v>6.8582905799999994</v>
      </c>
      <c r="C102" s="545">
        <f t="shared" si="7"/>
        <v>6.7639071232398221E-2</v>
      </c>
      <c r="D102" s="46">
        <v>2.8331112599999999</v>
      </c>
      <c r="E102" s="545">
        <f t="shared" si="8"/>
        <v>2.6439698386682062E-2</v>
      </c>
      <c r="F102" s="46">
        <v>0.86576796999999983</v>
      </c>
      <c r="G102" s="46">
        <v>7.7186700000000004E-3</v>
      </c>
      <c r="H102" s="494">
        <f t="shared" si="9"/>
        <v>0.87348663999999987</v>
      </c>
      <c r="I102" s="545">
        <f t="shared" si="10"/>
        <v>7.5695221436152729E-3</v>
      </c>
      <c r="J102" s="545">
        <f t="shared" si="11"/>
        <v>6.7485337306090118E-5</v>
      </c>
      <c r="K102" s="494">
        <f t="shared" si="12"/>
        <v>-69.168643239235166</v>
      </c>
      <c r="L102" s="546">
        <f t="shared" si="13"/>
        <v>-87.263784906588199</v>
      </c>
      <c r="M102" s="327"/>
      <c r="N102" s="327"/>
      <c r="T102" s="33"/>
      <c r="U102" s="189"/>
      <c r="V102" s="189"/>
      <c r="W102" s="189"/>
      <c r="X102" s="189"/>
      <c r="AE102" s="17"/>
      <c r="AL102" s="548"/>
    </row>
    <row r="103" spans="1:38" s="30" customFormat="1" x14ac:dyDescent="0.25">
      <c r="A103" s="21" t="s">
        <v>878</v>
      </c>
      <c r="B103" s="46">
        <v>0.21520729</v>
      </c>
      <c r="C103" s="545">
        <f t="shared" si="7"/>
        <v>2.1224561788750255E-3</v>
      </c>
      <c r="D103" s="46">
        <v>0.71336191999999998</v>
      </c>
      <c r="E103" s="545">
        <f t="shared" si="8"/>
        <v>6.6573714458868158E-3</v>
      </c>
      <c r="F103" s="46">
        <v>0.81017567999999995</v>
      </c>
      <c r="G103" s="46"/>
      <c r="H103" s="494">
        <f t="shared" si="9"/>
        <v>0.81017567999999995</v>
      </c>
      <c r="I103" s="545">
        <f t="shared" si="10"/>
        <v>7.0834715102460555E-3</v>
      </c>
      <c r="J103" s="545">
        <f t="shared" si="11"/>
        <v>0</v>
      </c>
      <c r="K103" s="494">
        <f t="shared" si="12"/>
        <v>13.5714785560743</v>
      </c>
      <c r="L103" s="546">
        <f t="shared" si="13"/>
        <v>276.46293487548678</v>
      </c>
      <c r="M103" s="327"/>
      <c r="N103" s="327"/>
      <c r="T103" s="33"/>
      <c r="U103" s="189"/>
      <c r="V103" s="189"/>
      <c r="W103" s="189"/>
      <c r="X103" s="189"/>
      <c r="AE103" s="17"/>
      <c r="AL103" s="548"/>
    </row>
    <row r="104" spans="1:38" s="30" customFormat="1" x14ac:dyDescent="0.25">
      <c r="A104" s="21" t="s">
        <v>907</v>
      </c>
      <c r="B104" s="46">
        <v>0.25749759</v>
      </c>
      <c r="C104" s="545">
        <f t="shared" si="7"/>
        <v>2.5395392086435729E-3</v>
      </c>
      <c r="D104" s="46">
        <v>0.31403922000000001</v>
      </c>
      <c r="E104" s="545">
        <f t="shared" si="8"/>
        <v>2.93073638710147E-3</v>
      </c>
      <c r="F104" s="46">
        <v>0.70212081999999998</v>
      </c>
      <c r="G104" s="46">
        <v>7.0345539999999998E-2</v>
      </c>
      <c r="H104" s="494">
        <f t="shared" si="9"/>
        <v>0.77246636000000002</v>
      </c>
      <c r="I104" s="545">
        <f t="shared" si="10"/>
        <v>6.1387337931701419E-3</v>
      </c>
      <c r="J104" s="545">
        <f t="shared" si="11"/>
        <v>6.1504021999632765E-4</v>
      </c>
      <c r="K104" s="494">
        <f t="shared" si="12"/>
        <v>145.9776711966104</v>
      </c>
      <c r="L104" s="546">
        <f t="shared" si="13"/>
        <v>199.9897435933284</v>
      </c>
      <c r="M104" s="327"/>
      <c r="N104" s="327"/>
      <c r="T104" s="33"/>
      <c r="U104" s="189"/>
      <c r="V104" s="189"/>
      <c r="W104" s="189"/>
      <c r="X104" s="189"/>
      <c r="AE104" s="17"/>
      <c r="AL104" s="548"/>
    </row>
    <row r="105" spans="1:38" s="30" customFormat="1" x14ac:dyDescent="0.25">
      <c r="A105" s="21" t="s">
        <v>857</v>
      </c>
      <c r="B105" s="46">
        <v>0.98801093999999989</v>
      </c>
      <c r="C105" s="545">
        <f t="shared" si="7"/>
        <v>9.7441398216534473E-3</v>
      </c>
      <c r="D105" s="46">
        <v>0.82765356000000001</v>
      </c>
      <c r="E105" s="545">
        <f t="shared" si="8"/>
        <v>7.7239855716304141E-3</v>
      </c>
      <c r="F105" s="46">
        <v>0.66517630999999988</v>
      </c>
      <c r="G105" s="46">
        <v>1.4285100000000002E-2</v>
      </c>
      <c r="H105" s="494">
        <f t="shared" si="9"/>
        <v>0.67946140999999993</v>
      </c>
      <c r="I105" s="545">
        <f t="shared" si="10"/>
        <v>5.8157231295508623E-3</v>
      </c>
      <c r="J105" s="545">
        <f t="shared" si="11"/>
        <v>1.2489649019212221E-4</v>
      </c>
      <c r="K105" s="494">
        <f t="shared" si="12"/>
        <v>-17.905094252237618</v>
      </c>
      <c r="L105" s="546">
        <f t="shared" si="13"/>
        <v>-31.229363715345094</v>
      </c>
      <c r="M105" s="327"/>
      <c r="N105" s="327"/>
      <c r="T105" s="33"/>
      <c r="U105" s="189"/>
      <c r="V105" s="189"/>
      <c r="W105" s="189"/>
      <c r="X105" s="189"/>
      <c r="AE105" s="17"/>
      <c r="AL105" s="548"/>
    </row>
    <row r="106" spans="1:38" s="30" customFormat="1" x14ac:dyDescent="0.25">
      <c r="A106" s="21" t="s">
        <v>766</v>
      </c>
      <c r="B106" s="46">
        <v>0</v>
      </c>
      <c r="C106" s="545">
        <f t="shared" si="7"/>
        <v>0</v>
      </c>
      <c r="D106" s="46">
        <v>3.593184E-2</v>
      </c>
      <c r="E106" s="545">
        <f t="shared" si="8"/>
        <v>3.3532993408755783E-4</v>
      </c>
      <c r="F106" s="46">
        <v>0.57816864999999995</v>
      </c>
      <c r="G106" s="46">
        <v>9.1063140000000001E-2</v>
      </c>
      <c r="H106" s="494">
        <f t="shared" si="9"/>
        <v>0.66923178999999999</v>
      </c>
      <c r="I106" s="545">
        <f t="shared" si="10"/>
        <v>5.0550038238526525E-3</v>
      </c>
      <c r="J106" s="545">
        <f t="shared" si="11"/>
        <v>7.9617689563768197E-4</v>
      </c>
      <c r="K106" s="494">
        <f t="shared" si="12"/>
        <v>1762.5035344697071</v>
      </c>
      <c r="L106" s="546" t="s">
        <v>240</v>
      </c>
      <c r="M106" s="327"/>
      <c r="N106" s="327"/>
      <c r="T106" s="33"/>
      <c r="U106" s="189"/>
      <c r="V106" s="189"/>
      <c r="W106" s="189"/>
      <c r="X106" s="189"/>
      <c r="AE106" s="17"/>
      <c r="AL106" s="548"/>
    </row>
    <row r="107" spans="1:38" s="30" customFormat="1" x14ac:dyDescent="0.25">
      <c r="A107" s="21" t="s">
        <v>904</v>
      </c>
      <c r="B107" s="46">
        <v>1.00018148</v>
      </c>
      <c r="C107" s="545">
        <f t="shared" si="7"/>
        <v>9.8641703179402872E-3</v>
      </c>
      <c r="D107" s="46">
        <v>0.85083507000000003</v>
      </c>
      <c r="E107" s="545">
        <f t="shared" si="8"/>
        <v>7.9403244571522816E-3</v>
      </c>
      <c r="F107" s="46">
        <v>0.60553615000000005</v>
      </c>
      <c r="G107" s="46">
        <v>5.7761550000000002E-2</v>
      </c>
      <c r="H107" s="494">
        <f t="shared" si="9"/>
        <v>0.6632977000000001</v>
      </c>
      <c r="I107" s="545">
        <f t="shared" si="10"/>
        <v>5.2942814414635138E-3</v>
      </c>
      <c r="J107" s="545">
        <f t="shared" si="11"/>
        <v>5.0501675613448809E-4</v>
      </c>
      <c r="K107" s="494">
        <f t="shared" si="12"/>
        <v>-22.0415655880287</v>
      </c>
      <c r="L107" s="546">
        <f t="shared" si="13"/>
        <v>-33.682265342485628</v>
      </c>
      <c r="M107" s="327"/>
      <c r="N107" s="327"/>
      <c r="T107" s="33"/>
      <c r="U107" s="189"/>
      <c r="V107" s="189"/>
      <c r="W107" s="189"/>
      <c r="X107" s="189"/>
      <c r="AE107" s="17"/>
      <c r="AL107" s="548"/>
    </row>
    <row r="108" spans="1:38" s="30" customFormat="1" x14ac:dyDescent="0.25">
      <c r="A108" s="21" t="s">
        <v>932</v>
      </c>
      <c r="B108" s="46">
        <v>1.1501182899999995</v>
      </c>
      <c r="C108" s="545">
        <f t="shared" si="7"/>
        <v>1.1342904188086179E-2</v>
      </c>
      <c r="D108" s="46">
        <v>1.3332977099999996</v>
      </c>
      <c r="E108" s="545">
        <f t="shared" si="8"/>
        <v>1.2442853836969987E-2</v>
      </c>
      <c r="F108" s="46">
        <v>0.63223207999999997</v>
      </c>
      <c r="G108" s="46">
        <v>1.136852E-2</v>
      </c>
      <c r="H108" s="494">
        <f t="shared" si="9"/>
        <v>0.64360059999999997</v>
      </c>
      <c r="I108" s="545">
        <f t="shared" si="10"/>
        <v>5.527687435080259E-3</v>
      </c>
      <c r="J108" s="545">
        <f t="shared" si="11"/>
        <v>9.9396451314932713E-5</v>
      </c>
      <c r="K108" s="494">
        <f t="shared" si="12"/>
        <v>-51.728665310615419</v>
      </c>
      <c r="L108" s="546">
        <f t="shared" si="13"/>
        <v>-44.040486479003803</v>
      </c>
      <c r="M108" s="327"/>
      <c r="N108" s="327"/>
      <c r="T108" s="33"/>
      <c r="U108" s="189"/>
      <c r="V108" s="189"/>
      <c r="W108" s="189"/>
      <c r="X108" s="189"/>
      <c r="AE108" s="17"/>
      <c r="AL108" s="548"/>
    </row>
    <row r="109" spans="1:38" s="30" customFormat="1" x14ac:dyDescent="0.25">
      <c r="A109" s="21" t="s">
        <v>786</v>
      </c>
      <c r="B109" s="46">
        <v>2.6236999999999996E-3</v>
      </c>
      <c r="C109" s="545">
        <f t="shared" si="7"/>
        <v>2.5875927699820963E-5</v>
      </c>
      <c r="D109" s="46">
        <v>0</v>
      </c>
      <c r="E109" s="545">
        <f t="shared" si="8"/>
        <v>0</v>
      </c>
      <c r="F109" s="46">
        <v>0.60807557000000001</v>
      </c>
      <c r="G109" s="46"/>
      <c r="H109" s="494">
        <f t="shared" si="9"/>
        <v>0.60807557000000001</v>
      </c>
      <c r="I109" s="545">
        <f t="shared" si="10"/>
        <v>5.3164839213288052E-3</v>
      </c>
      <c r="J109" s="545">
        <f t="shared" si="11"/>
        <v>0</v>
      </c>
      <c r="K109" s="494" t="s">
        <v>240</v>
      </c>
      <c r="L109" s="546">
        <f t="shared" si="13"/>
        <v>23076.261386591457</v>
      </c>
      <c r="M109" s="327"/>
      <c r="N109" s="327"/>
      <c r="T109" s="33"/>
      <c r="U109" s="189"/>
      <c r="V109" s="189"/>
      <c r="W109" s="189"/>
      <c r="X109" s="189"/>
      <c r="AE109" s="17"/>
      <c r="AL109" s="548"/>
    </row>
    <row r="110" spans="1:38" s="30" customFormat="1" x14ac:dyDescent="0.25">
      <c r="A110" s="21" t="s">
        <v>765</v>
      </c>
      <c r="B110" s="46">
        <v>0.44463396999999999</v>
      </c>
      <c r="C110" s="545">
        <f t="shared" si="7"/>
        <v>4.3851493923102352E-3</v>
      </c>
      <c r="D110" s="46">
        <v>0.48399780000000003</v>
      </c>
      <c r="E110" s="545">
        <f t="shared" si="8"/>
        <v>4.5168560912138929E-3</v>
      </c>
      <c r="F110" s="46">
        <v>0.56582913000000001</v>
      </c>
      <c r="G110" s="46"/>
      <c r="H110" s="494">
        <f t="shared" si="9"/>
        <v>0.56582913000000001</v>
      </c>
      <c r="I110" s="545">
        <f t="shared" si="10"/>
        <v>4.9471177930474437E-3</v>
      </c>
      <c r="J110" s="545">
        <f t="shared" si="11"/>
        <v>0</v>
      </c>
      <c r="K110" s="494">
        <f t="shared" si="12"/>
        <v>16.907376438487944</v>
      </c>
      <c r="L110" s="546">
        <f t="shared" si="13"/>
        <v>27.257287606702651</v>
      </c>
      <c r="M110" s="327"/>
      <c r="N110" s="327"/>
      <c r="T110" s="33"/>
      <c r="U110" s="189"/>
      <c r="V110" s="189"/>
      <c r="W110" s="189"/>
      <c r="X110" s="189"/>
      <c r="AE110" s="17"/>
      <c r="AL110" s="548"/>
    </row>
    <row r="111" spans="1:38" s="30" customFormat="1" x14ac:dyDescent="0.25">
      <c r="A111" s="21" t="s">
        <v>942</v>
      </c>
      <c r="B111" s="46">
        <v>0.48013824999999999</v>
      </c>
      <c r="C111" s="545">
        <f t="shared" si="7"/>
        <v>4.7353061108048036E-3</v>
      </c>
      <c r="D111" s="46">
        <v>0.13172301000000003</v>
      </c>
      <c r="E111" s="545">
        <f t="shared" si="8"/>
        <v>1.2292904638647709E-3</v>
      </c>
      <c r="F111" s="46">
        <v>0.53248553999999992</v>
      </c>
      <c r="G111" s="46"/>
      <c r="H111" s="494">
        <f t="shared" si="9"/>
        <v>0.53248553999999992</v>
      </c>
      <c r="I111" s="545">
        <f t="shared" si="10"/>
        <v>4.6555904420729904E-3</v>
      </c>
      <c r="J111" s="545">
        <f t="shared" si="11"/>
        <v>0</v>
      </c>
      <c r="K111" s="494">
        <f t="shared" si="12"/>
        <v>304.24641070683077</v>
      </c>
      <c r="L111" s="546">
        <f t="shared" si="13"/>
        <v>10.902545256496431</v>
      </c>
      <c r="M111" s="327"/>
      <c r="N111" s="327"/>
      <c r="T111" s="33"/>
      <c r="U111" s="189"/>
      <c r="V111" s="189"/>
      <c r="W111" s="189"/>
      <c r="X111" s="189"/>
      <c r="AE111" s="17"/>
      <c r="AL111" s="548"/>
    </row>
    <row r="112" spans="1:38" s="30" customFormat="1" x14ac:dyDescent="0.25">
      <c r="A112" s="21" t="s">
        <v>791</v>
      </c>
      <c r="B112" s="46">
        <v>0.1386</v>
      </c>
      <c r="C112" s="545">
        <f t="shared" si="7"/>
        <v>1.3669259363475953E-3</v>
      </c>
      <c r="D112" s="46">
        <v>0.24640000000000001</v>
      </c>
      <c r="E112" s="545">
        <f t="shared" si="8"/>
        <v>2.2995008259853729E-3</v>
      </c>
      <c r="F112" s="46">
        <v>0.52760000000000007</v>
      </c>
      <c r="G112" s="46"/>
      <c r="H112" s="494">
        <f t="shared" si="9"/>
        <v>0.52760000000000007</v>
      </c>
      <c r="I112" s="545">
        <f t="shared" si="10"/>
        <v>4.6128755294232229E-3</v>
      </c>
      <c r="J112" s="545">
        <f t="shared" si="11"/>
        <v>0</v>
      </c>
      <c r="K112" s="494">
        <f t="shared" si="12"/>
        <v>114.12337662337664</v>
      </c>
      <c r="L112" s="546">
        <f t="shared" si="13"/>
        <v>280.6637806637807</v>
      </c>
      <c r="M112" s="327"/>
      <c r="N112" s="327"/>
      <c r="T112" s="33"/>
      <c r="U112" s="189"/>
      <c r="V112" s="189"/>
      <c r="W112" s="189"/>
      <c r="X112" s="189"/>
      <c r="AE112" s="17"/>
      <c r="AL112" s="548"/>
    </row>
    <row r="113" spans="1:38" s="30" customFormat="1" x14ac:dyDescent="0.25">
      <c r="A113" s="21" t="s">
        <v>760</v>
      </c>
      <c r="B113" s="46">
        <v>0.49913911</v>
      </c>
      <c r="C113" s="545">
        <f t="shared" si="7"/>
        <v>4.9226998218214676E-3</v>
      </c>
      <c r="D113" s="46">
        <v>1.03410596</v>
      </c>
      <c r="E113" s="545">
        <f t="shared" si="8"/>
        <v>9.6506798262029087E-3</v>
      </c>
      <c r="F113" s="46">
        <v>0.51525866000000009</v>
      </c>
      <c r="G113" s="46"/>
      <c r="H113" s="494">
        <f t="shared" si="9"/>
        <v>0.51525866000000009</v>
      </c>
      <c r="I113" s="545">
        <f t="shared" si="10"/>
        <v>4.5049735861209259E-3</v>
      </c>
      <c r="J113" s="545">
        <f t="shared" si="11"/>
        <v>0</v>
      </c>
      <c r="K113" s="494">
        <f t="shared" si="12"/>
        <v>-50.173514133890109</v>
      </c>
      <c r="L113" s="546">
        <f t="shared" si="13"/>
        <v>3.2294704376100825</v>
      </c>
      <c r="M113" s="327"/>
      <c r="N113" s="327"/>
      <c r="T113" s="33"/>
      <c r="U113" s="189"/>
      <c r="V113" s="189"/>
      <c r="W113" s="189"/>
      <c r="X113" s="189"/>
      <c r="AE113" s="17"/>
      <c r="AL113" s="548"/>
    </row>
    <row r="114" spans="1:38" s="30" customFormat="1" x14ac:dyDescent="0.25">
      <c r="A114" s="21" t="s">
        <v>910</v>
      </c>
      <c r="B114" s="46">
        <v>16.201123370000001</v>
      </c>
      <c r="C114" s="545">
        <f t="shared" si="7"/>
        <v>0.15978164309105455</v>
      </c>
      <c r="D114" s="46">
        <v>0.73669229000000014</v>
      </c>
      <c r="E114" s="545">
        <f t="shared" si="8"/>
        <v>6.8750995509417852E-3</v>
      </c>
      <c r="F114" s="46">
        <v>0.39865866000000011</v>
      </c>
      <c r="G114" s="46">
        <v>8.5745020000000005E-2</v>
      </c>
      <c r="H114" s="494">
        <f t="shared" si="9"/>
        <v>0.48440368000000011</v>
      </c>
      <c r="I114" s="545">
        <f t="shared" si="10"/>
        <v>3.4855245968662867E-3</v>
      </c>
      <c r="J114" s="545">
        <f t="shared" si="11"/>
        <v>7.4967987969655958E-4</v>
      </c>
      <c r="K114" s="494">
        <f t="shared" si="12"/>
        <v>-34.246131447907516</v>
      </c>
      <c r="L114" s="546">
        <f t="shared" si="13"/>
        <v>-97.010061160962564</v>
      </c>
      <c r="M114" s="327"/>
      <c r="N114" s="327"/>
      <c r="T114" s="33"/>
      <c r="U114" s="189"/>
      <c r="V114" s="189"/>
      <c r="W114" s="189"/>
      <c r="X114" s="189"/>
      <c r="AE114" s="17"/>
      <c r="AL114" s="548"/>
    </row>
    <row r="115" spans="1:38" s="30" customFormat="1" x14ac:dyDescent="0.25">
      <c r="A115" s="21" t="s">
        <v>839</v>
      </c>
      <c r="B115" s="46">
        <v>4.7902640000000003E-2</v>
      </c>
      <c r="C115" s="545">
        <f t="shared" si="7"/>
        <v>4.7243406230535194E-4</v>
      </c>
      <c r="D115" s="46">
        <v>8.4084199999999998E-2</v>
      </c>
      <c r="E115" s="545">
        <f t="shared" si="8"/>
        <v>7.8470652334545153E-4</v>
      </c>
      <c r="F115" s="46">
        <v>0.47298267000000005</v>
      </c>
      <c r="G115" s="46"/>
      <c r="H115" s="494">
        <f t="shared" si="9"/>
        <v>0.47298267000000005</v>
      </c>
      <c r="I115" s="545">
        <f t="shared" si="10"/>
        <v>4.1353490983401433E-3</v>
      </c>
      <c r="J115" s="545">
        <f t="shared" si="11"/>
        <v>0</v>
      </c>
      <c r="K115" s="494">
        <f t="shared" si="12"/>
        <v>462.51075707445642</v>
      </c>
      <c r="L115" s="546">
        <f t="shared" si="13"/>
        <v>887.38330497024799</v>
      </c>
      <c r="M115" s="327"/>
      <c r="N115" s="327"/>
      <c r="T115" s="33"/>
      <c r="U115" s="189"/>
      <c r="V115" s="189"/>
      <c r="W115" s="189"/>
      <c r="X115" s="189"/>
      <c r="AE115" s="17"/>
      <c r="AL115" s="548"/>
    </row>
    <row r="116" spans="1:38" s="30" customFormat="1" x14ac:dyDescent="0.25">
      <c r="A116" s="21" t="s">
        <v>874</v>
      </c>
      <c r="B116" s="46">
        <v>0</v>
      </c>
      <c r="C116" s="545">
        <f t="shared" si="7"/>
        <v>0</v>
      </c>
      <c r="D116" s="46">
        <v>1.204207E-2</v>
      </c>
      <c r="E116" s="545">
        <f t="shared" si="8"/>
        <v>1.1238129022554251E-4</v>
      </c>
      <c r="F116" s="46">
        <v>0.46428963000000001</v>
      </c>
      <c r="G116" s="46">
        <v>6.7959099999999988E-3</v>
      </c>
      <c r="H116" s="494">
        <f t="shared" si="9"/>
        <v>0.47108554000000002</v>
      </c>
      <c r="I116" s="545">
        <f t="shared" si="10"/>
        <v>4.0593447171947726E-3</v>
      </c>
      <c r="J116" s="545">
        <f t="shared" si="11"/>
        <v>5.9417526419944206E-5</v>
      </c>
      <c r="K116" s="494">
        <f t="shared" si="12"/>
        <v>3811.998020273923</v>
      </c>
      <c r="L116" s="546" t="s">
        <v>240</v>
      </c>
      <c r="M116" s="327"/>
      <c r="N116" s="327"/>
      <c r="T116" s="33"/>
      <c r="U116" s="189"/>
      <c r="V116" s="189"/>
      <c r="W116" s="189"/>
      <c r="X116" s="189"/>
      <c r="AE116" s="17"/>
      <c r="AL116" s="548"/>
    </row>
    <row r="117" spans="1:38" s="30" customFormat="1" x14ac:dyDescent="0.25">
      <c r="A117" s="21" t="s">
        <v>763</v>
      </c>
      <c r="B117" s="46">
        <v>0.14797776000000001</v>
      </c>
      <c r="C117" s="545">
        <f t="shared" si="7"/>
        <v>1.4594129736408353E-3</v>
      </c>
      <c r="D117" s="46">
        <v>0.88755946999999991</v>
      </c>
      <c r="E117" s="545">
        <f t="shared" si="8"/>
        <v>8.2830508700330336E-3</v>
      </c>
      <c r="F117" s="46">
        <v>0.46563796999999996</v>
      </c>
      <c r="G117" s="46"/>
      <c r="H117" s="494">
        <f t="shared" si="9"/>
        <v>0.46563796999999996</v>
      </c>
      <c r="I117" s="545">
        <f t="shared" si="10"/>
        <v>4.0711334294603954E-3</v>
      </c>
      <c r="J117" s="545">
        <f t="shared" si="11"/>
        <v>0</v>
      </c>
      <c r="K117" s="494">
        <f t="shared" si="12"/>
        <v>-47.537265305726493</v>
      </c>
      <c r="L117" s="546">
        <f t="shared" si="13"/>
        <v>214.66753517555603</v>
      </c>
      <c r="M117" s="327"/>
      <c r="N117" s="327"/>
      <c r="T117" s="33"/>
      <c r="U117" s="189"/>
      <c r="V117" s="189"/>
      <c r="W117" s="189"/>
      <c r="X117" s="189"/>
      <c r="AE117" s="17"/>
      <c r="AL117" s="548"/>
    </row>
    <row r="118" spans="1:38" s="30" customFormat="1" x14ac:dyDescent="0.25">
      <c r="A118" s="21" t="s">
        <v>881</v>
      </c>
      <c r="B118" s="46">
        <v>1.4390188000000002</v>
      </c>
      <c r="C118" s="545">
        <f t="shared" si="7"/>
        <v>1.419215094236503E-2</v>
      </c>
      <c r="D118" s="46">
        <v>2.5195262800000005</v>
      </c>
      <c r="E118" s="545">
        <f t="shared" si="8"/>
        <v>2.351320114428512E-2</v>
      </c>
      <c r="F118" s="46">
        <v>0.25314647000000001</v>
      </c>
      <c r="G118" s="46">
        <v>0.21204247000000001</v>
      </c>
      <c r="H118" s="494">
        <f t="shared" si="9"/>
        <v>0.46518894</v>
      </c>
      <c r="I118" s="545">
        <f t="shared" si="10"/>
        <v>2.2132925641070319E-3</v>
      </c>
      <c r="J118" s="545">
        <f t="shared" si="11"/>
        <v>1.8539149375691013E-3</v>
      </c>
      <c r="K118" s="494">
        <f t="shared" si="12"/>
        <v>-81.536650611955523</v>
      </c>
      <c r="L118" s="546">
        <f t="shared" si="13"/>
        <v>-67.673185367696377</v>
      </c>
      <c r="M118" s="327"/>
      <c r="N118" s="327"/>
      <c r="T118" s="33"/>
      <c r="U118" s="189"/>
      <c r="V118" s="189"/>
      <c r="W118" s="189"/>
      <c r="X118" s="189"/>
      <c r="AE118" s="17"/>
      <c r="AL118" s="548"/>
    </row>
    <row r="119" spans="1:38" s="30" customFormat="1" x14ac:dyDescent="0.25">
      <c r="A119" s="21" t="s">
        <v>764</v>
      </c>
      <c r="B119" s="46">
        <v>27.930489829999999</v>
      </c>
      <c r="C119" s="545">
        <f t="shared" si="7"/>
        <v>0.27546111806291296</v>
      </c>
      <c r="D119" s="46">
        <v>0.44098721999999996</v>
      </c>
      <c r="E119" s="545">
        <f t="shared" si="8"/>
        <v>4.1154645967491597E-3</v>
      </c>
      <c r="F119" s="46">
        <v>0.43572290000000002</v>
      </c>
      <c r="G119" s="46"/>
      <c r="H119" s="494">
        <f t="shared" si="9"/>
        <v>0.43572290000000002</v>
      </c>
      <c r="I119" s="545">
        <f t="shared" si="10"/>
        <v>3.8095820754725585E-3</v>
      </c>
      <c r="J119" s="545">
        <f t="shared" si="11"/>
        <v>0</v>
      </c>
      <c r="K119" s="494">
        <f t="shared" si="12"/>
        <v>-1.1937579506272167</v>
      </c>
      <c r="L119" s="546">
        <f t="shared" si="13"/>
        <v>-98.439974011726818</v>
      </c>
      <c r="M119" s="327"/>
      <c r="N119" s="327"/>
      <c r="T119" s="33"/>
      <c r="U119" s="189"/>
      <c r="V119" s="189"/>
      <c r="W119" s="189"/>
      <c r="X119" s="189"/>
      <c r="AE119" s="17"/>
      <c r="AL119" s="548"/>
    </row>
    <row r="120" spans="1:38" s="30" customFormat="1" x14ac:dyDescent="0.25">
      <c r="A120" s="21" t="s">
        <v>877</v>
      </c>
      <c r="B120" s="46">
        <v>5.7749203499999995</v>
      </c>
      <c r="C120" s="545">
        <f t="shared" si="7"/>
        <v>5.695446180921019E-2</v>
      </c>
      <c r="D120" s="46">
        <v>3.4866203999999996</v>
      </c>
      <c r="E120" s="545">
        <f t="shared" si="8"/>
        <v>3.2538500364031851E-2</v>
      </c>
      <c r="F120" s="46">
        <v>0.42461130000000002</v>
      </c>
      <c r="G120" s="46"/>
      <c r="H120" s="494">
        <f t="shared" si="9"/>
        <v>0.42461130000000002</v>
      </c>
      <c r="I120" s="545">
        <f t="shared" si="10"/>
        <v>3.7124319091860931E-3</v>
      </c>
      <c r="J120" s="545">
        <f t="shared" si="11"/>
        <v>0</v>
      </c>
      <c r="K120" s="494">
        <f t="shared" si="12"/>
        <v>-87.821694039305214</v>
      </c>
      <c r="L120" s="546">
        <f t="shared" si="13"/>
        <v>-92.647321966960121</v>
      </c>
      <c r="M120" s="327"/>
      <c r="N120" s="327"/>
      <c r="T120" s="33"/>
      <c r="U120" s="189"/>
      <c r="V120" s="189"/>
      <c r="W120" s="189"/>
      <c r="X120" s="189"/>
      <c r="AE120" s="17"/>
      <c r="AL120" s="548"/>
    </row>
    <row r="121" spans="1:38" s="30" customFormat="1" x14ac:dyDescent="0.25">
      <c r="A121" s="21" t="s">
        <v>929</v>
      </c>
      <c r="B121" s="46">
        <v>0.22910647000000001</v>
      </c>
      <c r="C121" s="545">
        <f t="shared" si="7"/>
        <v>2.2595351805775057E-3</v>
      </c>
      <c r="D121" s="46">
        <v>0.42515497000000002</v>
      </c>
      <c r="E121" s="545">
        <f t="shared" si="8"/>
        <v>3.9677118696703987E-3</v>
      </c>
      <c r="F121" s="46">
        <v>0.39674844000000004</v>
      </c>
      <c r="G121" s="46"/>
      <c r="H121" s="494">
        <f t="shared" si="9"/>
        <v>0.39674844000000004</v>
      </c>
      <c r="I121" s="545">
        <f t="shared" si="10"/>
        <v>3.4688232945656516E-3</v>
      </c>
      <c r="J121" s="545">
        <f t="shared" si="11"/>
        <v>0</v>
      </c>
      <c r="K121" s="494">
        <f t="shared" si="12"/>
        <v>-6.6814531181418335</v>
      </c>
      <c r="L121" s="546">
        <f t="shared" si="13"/>
        <v>73.172080212313517</v>
      </c>
      <c r="M121" s="327"/>
      <c r="N121" s="327"/>
      <c r="T121" s="33"/>
      <c r="U121" s="189"/>
      <c r="V121" s="189"/>
      <c r="W121" s="189"/>
      <c r="X121" s="189"/>
      <c r="AE121" s="17"/>
      <c r="AL121" s="548"/>
    </row>
    <row r="122" spans="1:38" s="30" customFormat="1" x14ac:dyDescent="0.25">
      <c r="A122" s="21" t="s">
        <v>963</v>
      </c>
      <c r="B122" s="46">
        <v>0.78441870999999996</v>
      </c>
      <c r="C122" s="545">
        <f t="shared" si="7"/>
        <v>7.7362357839489389E-3</v>
      </c>
      <c r="D122" s="46">
        <v>1.0025527299999999</v>
      </c>
      <c r="E122" s="545">
        <f t="shared" si="8"/>
        <v>9.3562127870490674E-3</v>
      </c>
      <c r="F122" s="46">
        <v>0.33163587</v>
      </c>
      <c r="G122" s="46">
        <v>6.1377939999999999E-2</v>
      </c>
      <c r="H122" s="494">
        <f t="shared" si="9"/>
        <v>0.39301381000000002</v>
      </c>
      <c r="I122" s="545">
        <f t="shared" si="10"/>
        <v>2.8995356129681215E-3</v>
      </c>
      <c r="J122" s="545">
        <f t="shared" si="11"/>
        <v>5.3663532500456172E-4</v>
      </c>
      <c r="K122" s="494">
        <f t="shared" si="12"/>
        <v>-60.798689361705691</v>
      </c>
      <c r="L122" s="546">
        <f t="shared" si="13"/>
        <v>-49.897445714929468</v>
      </c>
      <c r="M122" s="327"/>
      <c r="N122" s="327"/>
      <c r="T122" s="33"/>
      <c r="U122" s="189"/>
      <c r="V122" s="189"/>
      <c r="W122" s="189"/>
      <c r="X122" s="189"/>
      <c r="AE122" s="17"/>
      <c r="AL122" s="548"/>
    </row>
    <row r="123" spans="1:38" s="30" customFormat="1" x14ac:dyDescent="0.25">
      <c r="A123" s="21" t="s">
        <v>854</v>
      </c>
      <c r="B123" s="46">
        <v>2.1386489999999998E-2</v>
      </c>
      <c r="C123" s="545">
        <f t="shared" si="7"/>
        <v>2.1092170179248543E-4</v>
      </c>
      <c r="D123" s="46">
        <v>4.0724000000000003E-2</v>
      </c>
      <c r="E123" s="545">
        <f t="shared" si="8"/>
        <v>3.8005223878826431E-4</v>
      </c>
      <c r="F123" s="46">
        <v>0.36438395000000001</v>
      </c>
      <c r="G123" s="46"/>
      <c r="H123" s="494">
        <f t="shared" si="9"/>
        <v>0.36438395000000001</v>
      </c>
      <c r="I123" s="545">
        <f t="shared" si="10"/>
        <v>3.1858563424366475E-3</v>
      </c>
      <c r="J123" s="545">
        <f t="shared" si="11"/>
        <v>0</v>
      </c>
      <c r="K123" s="494">
        <f t="shared" si="12"/>
        <v>794.76463510460655</v>
      </c>
      <c r="L123" s="546">
        <f t="shared" si="13"/>
        <v>1603.8043643440326</v>
      </c>
      <c r="M123" s="327"/>
      <c r="N123" s="327"/>
      <c r="T123" s="33"/>
      <c r="U123" s="189"/>
      <c r="V123" s="189"/>
      <c r="W123" s="189"/>
      <c r="X123" s="189"/>
      <c r="AE123" s="17"/>
      <c r="AL123" s="548"/>
    </row>
    <row r="124" spans="1:38" s="30" customFormat="1" x14ac:dyDescent="0.25">
      <c r="A124" s="21" t="s">
        <v>875</v>
      </c>
      <c r="B124" s="46">
        <v>3.4728120000000001E-2</v>
      </c>
      <c r="C124" s="545">
        <f t="shared" si="7"/>
        <v>3.4250193325102203E-4</v>
      </c>
      <c r="D124" s="46">
        <v>1.8822020000000002E-2</v>
      </c>
      <c r="E124" s="545">
        <f t="shared" si="8"/>
        <v>1.7565442587951787E-4</v>
      </c>
      <c r="F124" s="46">
        <v>0.31565237999999995</v>
      </c>
      <c r="G124" s="46">
        <v>4.2672300000000003E-2</v>
      </c>
      <c r="H124" s="494">
        <f t="shared" si="9"/>
        <v>0.35832467999999995</v>
      </c>
      <c r="I124" s="545">
        <f t="shared" si="10"/>
        <v>2.7597898777600455E-3</v>
      </c>
      <c r="J124" s="545">
        <f t="shared" si="11"/>
        <v>3.7308947773731347E-4</v>
      </c>
      <c r="K124" s="494">
        <f t="shared" si="12"/>
        <v>1803.7525196551694</v>
      </c>
      <c r="L124" s="546">
        <f t="shared" si="13"/>
        <v>931.7998210096024</v>
      </c>
      <c r="M124" s="327"/>
      <c r="N124" s="327"/>
      <c r="T124" s="33"/>
      <c r="U124" s="189"/>
      <c r="V124" s="189"/>
      <c r="W124" s="189"/>
      <c r="X124" s="189"/>
      <c r="AE124" s="17"/>
      <c r="AL124" s="548"/>
    </row>
    <row r="125" spans="1:38" s="30" customFormat="1" x14ac:dyDescent="0.25">
      <c r="A125" s="21" t="s">
        <v>908</v>
      </c>
      <c r="B125" s="46">
        <v>0.32157884000000003</v>
      </c>
      <c r="C125" s="545">
        <f t="shared" si="7"/>
        <v>3.1715328786188573E-3</v>
      </c>
      <c r="D125" s="46">
        <v>0.37211725000000001</v>
      </c>
      <c r="E125" s="545">
        <f t="shared" si="8"/>
        <v>3.4727431969902816E-3</v>
      </c>
      <c r="F125" s="46">
        <v>4.4559999999999995E-2</v>
      </c>
      <c r="G125" s="46">
        <v>0.30815621999999998</v>
      </c>
      <c r="H125" s="494">
        <f t="shared" si="9"/>
        <v>0.35271621999999997</v>
      </c>
      <c r="I125" s="545">
        <f t="shared" si="10"/>
        <v>3.8959388474431154E-4</v>
      </c>
      <c r="J125" s="545">
        <f t="shared" si="11"/>
        <v>2.6942499743698991E-3</v>
      </c>
      <c r="K125" s="494">
        <f t="shared" si="12"/>
        <v>-5.213687352575036</v>
      </c>
      <c r="L125" s="546">
        <f t="shared" si="13"/>
        <v>9.6826582246518189</v>
      </c>
      <c r="M125" s="327"/>
      <c r="N125" s="327"/>
      <c r="T125" s="33"/>
      <c r="U125" s="189"/>
      <c r="V125" s="189"/>
      <c r="W125" s="189"/>
      <c r="X125" s="189"/>
      <c r="AE125" s="17"/>
      <c r="AL125" s="548"/>
    </row>
    <row r="126" spans="1:38" s="30" customFormat="1" x14ac:dyDescent="0.25">
      <c r="A126" s="21" t="s">
        <v>762</v>
      </c>
      <c r="B126" s="46">
        <v>0.32720707000000004</v>
      </c>
      <c r="C126" s="545">
        <f t="shared" si="7"/>
        <v>3.2270406243816974E-3</v>
      </c>
      <c r="D126" s="46">
        <v>0.57992188</v>
      </c>
      <c r="E126" s="545">
        <f t="shared" si="8"/>
        <v>5.4120569889082384E-3</v>
      </c>
      <c r="F126" s="46">
        <v>0.35100053000000009</v>
      </c>
      <c r="G126" s="46"/>
      <c r="H126" s="494">
        <f t="shared" si="9"/>
        <v>0.35100053000000009</v>
      </c>
      <c r="I126" s="545">
        <f t="shared" si="10"/>
        <v>3.0688433579446213E-3</v>
      </c>
      <c r="J126" s="545">
        <f t="shared" si="11"/>
        <v>0</v>
      </c>
      <c r="K126" s="494">
        <f t="shared" si="12"/>
        <v>-39.474515084686914</v>
      </c>
      <c r="L126" s="546">
        <f t="shared" si="13"/>
        <v>7.2716827298383357</v>
      </c>
      <c r="M126" s="327"/>
      <c r="N126" s="327"/>
      <c r="T126" s="33"/>
      <c r="U126" s="189"/>
      <c r="V126" s="189"/>
      <c r="W126" s="189"/>
      <c r="X126" s="189"/>
      <c r="AE126" s="17"/>
      <c r="AL126" s="548"/>
    </row>
    <row r="127" spans="1:38" s="30" customFormat="1" x14ac:dyDescent="0.25">
      <c r="A127" s="21" t="s">
        <v>906</v>
      </c>
      <c r="B127" s="46">
        <v>0.59416211000000008</v>
      </c>
      <c r="C127" s="545">
        <f t="shared" si="7"/>
        <v>5.8598528034200072E-3</v>
      </c>
      <c r="D127" s="46">
        <v>0.34126504999999996</v>
      </c>
      <c r="E127" s="545">
        <f t="shared" si="8"/>
        <v>3.1848184429989421E-3</v>
      </c>
      <c r="F127" s="46">
        <v>4.3752680000000002E-2</v>
      </c>
      <c r="G127" s="46">
        <v>0.28353617999999997</v>
      </c>
      <c r="H127" s="494">
        <f t="shared" si="9"/>
        <v>0.32728885999999996</v>
      </c>
      <c r="I127" s="545">
        <f t="shared" si="10"/>
        <v>3.8253538081630946E-4</v>
      </c>
      <c r="J127" s="545">
        <f t="shared" si="11"/>
        <v>2.4789937574452958E-3</v>
      </c>
      <c r="K127" s="494">
        <f t="shared" si="12"/>
        <v>-4.0954061952725551</v>
      </c>
      <c r="L127" s="546">
        <f t="shared" si="13"/>
        <v>-44.91589845740922</v>
      </c>
      <c r="M127" s="327"/>
      <c r="N127" s="327"/>
      <c r="T127" s="33"/>
      <c r="U127" s="189"/>
      <c r="V127" s="189"/>
      <c r="W127" s="189"/>
      <c r="X127" s="189"/>
      <c r="AE127" s="17"/>
      <c r="AL127" s="548"/>
    </row>
    <row r="128" spans="1:38" s="30" customFormat="1" x14ac:dyDescent="0.25">
      <c r="A128" s="21" t="s">
        <v>827</v>
      </c>
      <c r="B128" s="46">
        <v>1.1000000000000001E-3</v>
      </c>
      <c r="C128" s="545">
        <f t="shared" si="7"/>
        <v>1.0848618542441233E-5</v>
      </c>
      <c r="D128" s="46">
        <v>0</v>
      </c>
      <c r="E128" s="545">
        <f t="shared" si="8"/>
        <v>0</v>
      </c>
      <c r="F128" s="46">
        <v>0.31324667</v>
      </c>
      <c r="G128" s="46"/>
      <c r="H128" s="494">
        <f t="shared" si="9"/>
        <v>0.31324667</v>
      </c>
      <c r="I128" s="545">
        <f t="shared" si="10"/>
        <v>2.7387564418428949E-3</v>
      </c>
      <c r="J128" s="545">
        <f t="shared" si="11"/>
        <v>0</v>
      </c>
      <c r="K128" s="494" t="s">
        <v>240</v>
      </c>
      <c r="L128" s="546">
        <f t="shared" si="13"/>
        <v>28376.97</v>
      </c>
      <c r="M128" s="327"/>
      <c r="N128" s="327"/>
      <c r="T128" s="33"/>
      <c r="U128" s="189"/>
      <c r="V128" s="189"/>
      <c r="W128" s="189"/>
      <c r="X128" s="189"/>
      <c r="AE128" s="17"/>
      <c r="AL128" s="548"/>
    </row>
    <row r="129" spans="1:38" s="30" customFormat="1" x14ac:dyDescent="0.25">
      <c r="A129" s="21" t="s">
        <v>901</v>
      </c>
      <c r="B129" s="46">
        <v>4.817391E-2</v>
      </c>
      <c r="C129" s="545">
        <f t="shared" si="7"/>
        <v>4.7510943026172288E-4</v>
      </c>
      <c r="D129" s="46">
        <v>0.12682595000000002</v>
      </c>
      <c r="E129" s="545">
        <f t="shared" si="8"/>
        <v>1.1835891914828717E-3</v>
      </c>
      <c r="F129" s="46">
        <v>0.30647993000000001</v>
      </c>
      <c r="G129" s="46"/>
      <c r="H129" s="494">
        <f t="shared" si="9"/>
        <v>0.30647993000000001</v>
      </c>
      <c r="I129" s="545">
        <f t="shared" si="10"/>
        <v>2.6795939525328699E-3</v>
      </c>
      <c r="J129" s="545">
        <f t="shared" si="11"/>
        <v>0</v>
      </c>
      <c r="K129" s="494">
        <f t="shared" si="12"/>
        <v>141.65395961946271</v>
      </c>
      <c r="L129" s="546">
        <f t="shared" si="13"/>
        <v>536.19484073433114</v>
      </c>
      <c r="M129" s="327"/>
      <c r="N129" s="327"/>
      <c r="T129" s="33"/>
      <c r="U129" s="189"/>
      <c r="V129" s="189"/>
      <c r="W129" s="189"/>
      <c r="X129" s="189"/>
      <c r="AE129" s="17"/>
      <c r="AL129" s="548"/>
    </row>
    <row r="130" spans="1:38" s="30" customFormat="1" x14ac:dyDescent="0.25">
      <c r="A130" s="21" t="s">
        <v>870</v>
      </c>
      <c r="B130" s="46">
        <v>10.752457770000003</v>
      </c>
      <c r="C130" s="545">
        <f t="shared" si="7"/>
        <v>0.10604482976403487</v>
      </c>
      <c r="D130" s="46">
        <v>0.15830917</v>
      </c>
      <c r="E130" s="545">
        <f t="shared" si="8"/>
        <v>1.4774028700327061E-3</v>
      </c>
      <c r="F130" s="46">
        <v>0.27410656000000005</v>
      </c>
      <c r="G130" s="46">
        <v>2.439945E-2</v>
      </c>
      <c r="H130" s="494">
        <f t="shared" si="9"/>
        <v>0.29850601000000004</v>
      </c>
      <c r="I130" s="545">
        <f t="shared" si="10"/>
        <v>2.3965493614070861E-3</v>
      </c>
      <c r="J130" s="545">
        <f t="shared" si="11"/>
        <v>2.1332756981877455E-4</v>
      </c>
      <c r="K130" s="494">
        <f t="shared" si="12"/>
        <v>88.558887650033185</v>
      </c>
      <c r="L130" s="546">
        <f t="shared" si="13"/>
        <v>-97.223834621021723</v>
      </c>
      <c r="M130" s="327"/>
      <c r="N130" s="327"/>
      <c r="T130" s="33"/>
      <c r="U130" s="189"/>
      <c r="V130" s="189"/>
      <c r="W130" s="189"/>
      <c r="X130" s="189"/>
      <c r="AE130" s="17"/>
      <c r="AL130" s="548"/>
    </row>
    <row r="131" spans="1:38" s="30" customFormat="1" x14ac:dyDescent="0.25">
      <c r="A131" s="21" t="s">
        <v>958</v>
      </c>
      <c r="B131" s="46">
        <v>1.4805044000000001</v>
      </c>
      <c r="C131" s="545">
        <f t="shared" si="7"/>
        <v>1.4601297714550758E-2</v>
      </c>
      <c r="D131" s="46">
        <v>0.48469320999999987</v>
      </c>
      <c r="E131" s="545">
        <f t="shared" si="8"/>
        <v>4.5233459283461905E-3</v>
      </c>
      <c r="F131" s="46">
        <v>0.26709129999999998</v>
      </c>
      <c r="G131" s="46">
        <v>1.473701E-2</v>
      </c>
      <c r="H131" s="494">
        <f t="shared" si="9"/>
        <v>0.28182830999999997</v>
      </c>
      <c r="I131" s="545">
        <f t="shared" si="10"/>
        <v>2.3352140293628441E-3</v>
      </c>
      <c r="J131" s="545">
        <f t="shared" si="11"/>
        <v>1.2884759819155669E-4</v>
      </c>
      <c r="K131" s="494">
        <f t="shared" si="12"/>
        <v>-41.854289644371121</v>
      </c>
      <c r="L131" s="546">
        <f t="shared" si="13"/>
        <v>-80.964034284531678</v>
      </c>
      <c r="M131" s="327"/>
      <c r="N131" s="327"/>
      <c r="T131" s="33"/>
      <c r="U131" s="189"/>
      <c r="V131" s="189"/>
      <c r="W131" s="189"/>
      <c r="X131" s="189"/>
      <c r="AE131" s="17"/>
      <c r="AL131" s="548"/>
    </row>
    <row r="132" spans="1:38" s="30" customFormat="1" x14ac:dyDescent="0.25">
      <c r="A132" s="21" t="s">
        <v>896</v>
      </c>
      <c r="B132" s="46">
        <v>0.5969915699999998</v>
      </c>
      <c r="C132" s="545">
        <f t="shared" ref="C132:C195" si="14">(B132/$B$234)*100</f>
        <v>5.8877580145300914E-3</v>
      </c>
      <c r="D132" s="46">
        <v>0.43292032999999996</v>
      </c>
      <c r="E132" s="545">
        <f t="shared" ref="E132:E195" si="15">(D132/$D$234)*100</f>
        <v>4.0401812354742698E-3</v>
      </c>
      <c r="F132" s="46">
        <v>0.26195019999999997</v>
      </c>
      <c r="G132" s="46">
        <v>2.1890000000000002E-5</v>
      </c>
      <c r="H132" s="494">
        <f t="shared" ref="H132:H195" si="16">F132+G132</f>
        <v>0.26197208999999999</v>
      </c>
      <c r="I132" s="545">
        <f t="shared" ref="I132:I195" si="17">(F132/$H$234)*100</f>
        <v>2.2902647223417717E-3</v>
      </c>
      <c r="J132" s="545">
        <f t="shared" ref="J132:J195" si="18">(G132/$H$234)*100</f>
        <v>1.9138712156761629E-7</v>
      </c>
      <c r="K132" s="494">
        <f t="shared" si="12"/>
        <v>-39.487228516156769</v>
      </c>
      <c r="L132" s="546">
        <f t="shared" si="13"/>
        <v>-56.117958248556164</v>
      </c>
      <c r="M132" s="327"/>
      <c r="N132" s="327"/>
      <c r="T132" s="33"/>
      <c r="U132" s="189"/>
      <c r="V132" s="189"/>
      <c r="W132" s="189"/>
      <c r="X132" s="189"/>
      <c r="AE132" s="17"/>
      <c r="AL132" s="548"/>
    </row>
    <row r="133" spans="1:38" s="30" customFormat="1" x14ac:dyDescent="0.25">
      <c r="A133" s="21" t="s">
        <v>885</v>
      </c>
      <c r="B133" s="46">
        <v>0</v>
      </c>
      <c r="C133" s="545">
        <f t="shared" si="14"/>
        <v>0</v>
      </c>
      <c r="D133" s="46">
        <v>6.9297010000000006E-2</v>
      </c>
      <c r="E133" s="545">
        <f t="shared" si="15"/>
        <v>6.4670670346313576E-4</v>
      </c>
      <c r="F133" s="46">
        <v>0.25620137999999998</v>
      </c>
      <c r="G133" s="46"/>
      <c r="H133" s="494">
        <f t="shared" si="16"/>
        <v>0.25620137999999998</v>
      </c>
      <c r="I133" s="545">
        <f t="shared" si="17"/>
        <v>2.2400020401942005E-3</v>
      </c>
      <c r="J133" s="545">
        <f t="shared" si="18"/>
        <v>0</v>
      </c>
      <c r="K133" s="494">
        <f t="shared" ref="K133:K196" si="19">((H133/D133)-1)*100</f>
        <v>269.71491266361994</v>
      </c>
      <c r="L133" s="546" t="s">
        <v>240</v>
      </c>
      <c r="M133" s="327"/>
      <c r="N133" s="327"/>
      <c r="T133" s="33"/>
      <c r="U133" s="189"/>
      <c r="V133" s="189"/>
      <c r="W133" s="189"/>
      <c r="X133" s="189"/>
      <c r="AE133" s="17"/>
      <c r="AL133" s="548"/>
    </row>
    <row r="134" spans="1:38" s="30" customFormat="1" x14ac:dyDescent="0.25">
      <c r="A134" s="21" t="s">
        <v>892</v>
      </c>
      <c r="B134" s="46">
        <v>1.8534579299999998</v>
      </c>
      <c r="C134" s="545">
        <f t="shared" si="14"/>
        <v>1.827950733366613E-2</v>
      </c>
      <c r="D134" s="46">
        <v>0.44505811000000001</v>
      </c>
      <c r="E134" s="545">
        <f t="shared" si="15"/>
        <v>4.1534557287195165E-3</v>
      </c>
      <c r="F134" s="46">
        <v>0.23758352000000002</v>
      </c>
      <c r="G134" s="46">
        <v>3.4459999999999999E-5</v>
      </c>
      <c r="H134" s="494">
        <f t="shared" si="16"/>
        <v>0.23761798000000001</v>
      </c>
      <c r="I134" s="545">
        <f t="shared" si="17"/>
        <v>2.0772236649018818E-3</v>
      </c>
      <c r="J134" s="545">
        <f t="shared" si="18"/>
        <v>3.0128826903700575E-7</v>
      </c>
      <c r="K134" s="494">
        <f t="shared" si="19"/>
        <v>-46.609673060445964</v>
      </c>
      <c r="L134" s="546">
        <f t="shared" ref="L134:L196" si="20">((H134/B134)-1)*100</f>
        <v>-87.179747856483587</v>
      </c>
      <c r="M134" s="327"/>
      <c r="N134" s="327"/>
      <c r="T134" s="33"/>
      <c r="U134" s="189"/>
      <c r="V134" s="189"/>
      <c r="W134" s="189"/>
      <c r="X134" s="189"/>
      <c r="AE134" s="17"/>
      <c r="AL134" s="548"/>
    </row>
    <row r="135" spans="1:38" s="30" customFormat="1" x14ac:dyDescent="0.25">
      <c r="A135" s="21" t="s">
        <v>921</v>
      </c>
      <c r="B135" s="46">
        <v>7.3582070000000013E-2</v>
      </c>
      <c r="C135" s="545">
        <f t="shared" si="14"/>
        <v>7.2569437181200819E-4</v>
      </c>
      <c r="D135" s="46">
        <v>3.0273174799999998</v>
      </c>
      <c r="E135" s="545">
        <f t="shared" si="15"/>
        <v>2.8252106516964106E-2</v>
      </c>
      <c r="F135" s="46">
        <v>0.1939311</v>
      </c>
      <c r="G135" s="46">
        <v>3.7933000000000001E-2</v>
      </c>
      <c r="H135" s="494">
        <f t="shared" si="16"/>
        <v>0.23186409999999999</v>
      </c>
      <c r="I135" s="545">
        <f t="shared" si="17"/>
        <v>1.6955648703262469E-3</v>
      </c>
      <c r="J135" s="545">
        <f t="shared" si="18"/>
        <v>3.316531604579437E-4</v>
      </c>
      <c r="K135" s="494">
        <f t="shared" si="19"/>
        <v>-92.340938750830986</v>
      </c>
      <c r="L135" s="546">
        <f t="shared" si="20"/>
        <v>215.10950969441325</v>
      </c>
      <c r="M135" s="327"/>
      <c r="N135" s="327"/>
      <c r="T135" s="33"/>
      <c r="U135" s="189"/>
      <c r="V135" s="189"/>
      <c r="W135" s="189"/>
      <c r="X135" s="189"/>
      <c r="AE135" s="17"/>
      <c r="AL135" s="548"/>
    </row>
    <row r="136" spans="1:38" s="30" customFormat="1" x14ac:dyDescent="0.25">
      <c r="A136" s="21" t="s">
        <v>965</v>
      </c>
      <c r="B136" s="46">
        <v>1.0000000000000001E-5</v>
      </c>
      <c r="C136" s="545">
        <f t="shared" si="14"/>
        <v>9.862380493128394E-8</v>
      </c>
      <c r="D136" s="46">
        <v>0.15426881000000001</v>
      </c>
      <c r="E136" s="545">
        <f t="shared" si="15"/>
        <v>1.4396966559203754E-3</v>
      </c>
      <c r="F136" s="46">
        <v>0.22576227999999998</v>
      </c>
      <c r="G136" s="46"/>
      <c r="H136" s="494">
        <f t="shared" si="16"/>
        <v>0.22576227999999998</v>
      </c>
      <c r="I136" s="545">
        <f t="shared" si="17"/>
        <v>1.9738690236519971E-3</v>
      </c>
      <c r="J136" s="545">
        <f t="shared" si="18"/>
        <v>0</v>
      </c>
      <c r="K136" s="494">
        <f t="shared" si="19"/>
        <v>46.343437795365091</v>
      </c>
      <c r="L136" s="546">
        <f t="shared" si="20"/>
        <v>2257522.7999999993</v>
      </c>
      <c r="M136" s="327"/>
      <c r="N136" s="327"/>
      <c r="T136" s="33"/>
      <c r="U136" s="189"/>
      <c r="V136" s="189"/>
      <c r="W136" s="189"/>
      <c r="X136" s="189"/>
      <c r="AE136" s="17"/>
      <c r="AL136" s="548"/>
    </row>
    <row r="137" spans="1:38" s="30" customFormat="1" x14ac:dyDescent="0.25">
      <c r="A137" s="21" t="s">
        <v>962</v>
      </c>
      <c r="B137" s="46">
        <v>2.948923230000001</v>
      </c>
      <c r="C137" s="545">
        <f t="shared" si="14"/>
        <v>2.9083402939285189E-2</v>
      </c>
      <c r="D137" s="46">
        <v>4.4329000000000007E-2</v>
      </c>
      <c r="E137" s="545">
        <f t="shared" si="15"/>
        <v>4.1369550371390257E-4</v>
      </c>
      <c r="F137" s="46">
        <v>0.21260463000000002</v>
      </c>
      <c r="G137" s="46">
        <v>5.9467600000000006E-3</v>
      </c>
      <c r="H137" s="494">
        <f t="shared" si="16"/>
        <v>0.21855139000000001</v>
      </c>
      <c r="I137" s="545">
        <f t="shared" si="17"/>
        <v>1.8588299756805884E-3</v>
      </c>
      <c r="J137" s="545">
        <f t="shared" si="18"/>
        <v>5.1993297352829502E-5</v>
      </c>
      <c r="K137" s="494">
        <f t="shared" si="19"/>
        <v>393.02125019738764</v>
      </c>
      <c r="L137" s="546">
        <f t="shared" si="20"/>
        <v>-92.588773157041459</v>
      </c>
      <c r="M137" s="327"/>
      <c r="N137" s="327"/>
      <c r="T137" s="33"/>
      <c r="U137" s="189"/>
      <c r="V137" s="189"/>
      <c r="W137" s="189"/>
      <c r="X137" s="189"/>
      <c r="AE137" s="17"/>
      <c r="AL137" s="548"/>
    </row>
    <row r="138" spans="1:38" s="30" customFormat="1" x14ac:dyDescent="0.25">
      <c r="A138" s="21" t="s">
        <v>800</v>
      </c>
      <c r="B138" s="46">
        <v>2.2187999999999998E-4</v>
      </c>
      <c r="C138" s="545">
        <f t="shared" si="14"/>
        <v>2.1882649838153277E-6</v>
      </c>
      <c r="D138" s="46">
        <v>0</v>
      </c>
      <c r="E138" s="545">
        <f t="shared" si="15"/>
        <v>0</v>
      </c>
      <c r="F138" s="46">
        <v>0.21219251</v>
      </c>
      <c r="G138" s="46"/>
      <c r="H138" s="494">
        <f t="shared" si="16"/>
        <v>0.21219251</v>
      </c>
      <c r="I138" s="545">
        <f t="shared" si="17"/>
        <v>1.8552267568345195E-3</v>
      </c>
      <c r="J138" s="545">
        <f t="shared" si="18"/>
        <v>0</v>
      </c>
      <c r="K138" s="494" t="s">
        <v>240</v>
      </c>
      <c r="L138" s="546">
        <f t="shared" si="20"/>
        <v>95533.9057148008</v>
      </c>
      <c r="M138" s="327"/>
      <c r="N138" s="327"/>
      <c r="T138" s="33"/>
      <c r="U138" s="189"/>
      <c r="V138" s="189"/>
      <c r="W138" s="189"/>
      <c r="X138" s="189"/>
      <c r="AE138" s="17"/>
      <c r="AL138" s="548"/>
    </row>
    <row r="139" spans="1:38" s="30" customFormat="1" x14ac:dyDescent="0.25">
      <c r="A139" s="21" t="s">
        <v>842</v>
      </c>
      <c r="B139" s="46">
        <v>0.15578598999999999</v>
      </c>
      <c r="C139" s="545">
        <f t="shared" si="14"/>
        <v>1.5364207088786948E-3</v>
      </c>
      <c r="D139" s="46">
        <v>5.4377410000000001E-2</v>
      </c>
      <c r="E139" s="545">
        <f t="shared" si="15"/>
        <v>5.0747118185854407E-4</v>
      </c>
      <c r="F139" s="46">
        <v>0.16595805</v>
      </c>
      <c r="G139" s="46">
        <v>3.0443799999999997E-2</v>
      </c>
      <c r="H139" s="494">
        <f t="shared" si="16"/>
        <v>0.19640184999999999</v>
      </c>
      <c r="I139" s="545">
        <f t="shared" si="17"/>
        <v>1.4509928501815685E-3</v>
      </c>
      <c r="J139" s="545">
        <f t="shared" si="18"/>
        <v>2.66174109254463E-4</v>
      </c>
      <c r="K139" s="494">
        <f t="shared" si="19"/>
        <v>261.18279631192433</v>
      </c>
      <c r="L139" s="546">
        <f t="shared" si="20"/>
        <v>26.071574215370717</v>
      </c>
      <c r="M139" s="327"/>
      <c r="N139" s="327"/>
      <c r="T139" s="33"/>
      <c r="U139" s="189"/>
      <c r="V139" s="189"/>
      <c r="W139" s="189"/>
      <c r="X139" s="189"/>
      <c r="AE139" s="17"/>
      <c r="AL139" s="548"/>
    </row>
    <row r="140" spans="1:38" s="30" customFormat="1" x14ac:dyDescent="0.25">
      <c r="A140" s="21" t="s">
        <v>920</v>
      </c>
      <c r="B140" s="46">
        <v>0.48146506999999999</v>
      </c>
      <c r="C140" s="545">
        <f t="shared" si="14"/>
        <v>4.7483917144906969E-3</v>
      </c>
      <c r="D140" s="46">
        <v>5.1801730000000004E-2</v>
      </c>
      <c r="E140" s="545">
        <f t="shared" si="15"/>
        <v>4.8343393231522423E-4</v>
      </c>
      <c r="F140" s="46">
        <v>0.19456785999999998</v>
      </c>
      <c r="G140" s="46"/>
      <c r="H140" s="494">
        <f t="shared" si="16"/>
        <v>0.19456785999999998</v>
      </c>
      <c r="I140" s="545">
        <f t="shared" si="17"/>
        <v>1.7011321459557303E-3</v>
      </c>
      <c r="J140" s="545">
        <f t="shared" si="18"/>
        <v>0</v>
      </c>
      <c r="K140" s="494">
        <f t="shared" si="19"/>
        <v>275.60108513750401</v>
      </c>
      <c r="L140" s="546">
        <f t="shared" si="20"/>
        <v>-59.588374708055149</v>
      </c>
      <c r="M140" s="327"/>
      <c r="N140" s="327"/>
      <c r="T140" s="33"/>
      <c r="U140" s="189"/>
      <c r="V140" s="189"/>
      <c r="W140" s="189"/>
      <c r="X140" s="189"/>
      <c r="AE140" s="17"/>
      <c r="AL140" s="548"/>
    </row>
    <row r="141" spans="1:38" s="30" customFormat="1" x14ac:dyDescent="0.25">
      <c r="A141" s="21" t="s">
        <v>922</v>
      </c>
      <c r="B141" s="46">
        <v>0.63236595000000007</v>
      </c>
      <c r="C141" s="545">
        <f t="shared" si="14"/>
        <v>6.2366336097986067E-3</v>
      </c>
      <c r="D141" s="46">
        <v>15.595770959999996</v>
      </c>
      <c r="E141" s="545">
        <f t="shared" si="15"/>
        <v>0.14554581251785176</v>
      </c>
      <c r="F141" s="46">
        <v>0.15747643999999997</v>
      </c>
      <c r="G141" s="46"/>
      <c r="H141" s="494">
        <f t="shared" si="16"/>
        <v>0.15747643999999997</v>
      </c>
      <c r="I141" s="545">
        <f t="shared" si="17"/>
        <v>1.376837029068772E-3</v>
      </c>
      <c r="J141" s="545">
        <f t="shared" si="18"/>
        <v>0</v>
      </c>
      <c r="K141" s="494">
        <f t="shared" si="19"/>
        <v>-98.990261908796327</v>
      </c>
      <c r="L141" s="546">
        <f t="shared" si="20"/>
        <v>-75.097261324712377</v>
      </c>
      <c r="M141" s="327"/>
      <c r="N141" s="327"/>
      <c r="T141" s="33"/>
      <c r="U141" s="189"/>
      <c r="V141" s="189"/>
      <c r="W141" s="189"/>
      <c r="X141" s="189"/>
      <c r="AE141" s="17"/>
      <c r="AL141" s="548"/>
    </row>
    <row r="142" spans="1:38" s="30" customFormat="1" x14ac:dyDescent="0.25">
      <c r="A142" s="21" t="s">
        <v>865</v>
      </c>
      <c r="B142" s="46">
        <v>6.9678376699999989</v>
      </c>
      <c r="C142" s="545">
        <f t="shared" si="14"/>
        <v>6.8719466315893193E-2</v>
      </c>
      <c r="D142" s="46">
        <v>3.2831412200000001</v>
      </c>
      <c r="E142" s="545">
        <f t="shared" si="15"/>
        <v>3.063955335721032E-2</v>
      </c>
      <c r="F142" s="46">
        <v>0.14937599999999998</v>
      </c>
      <c r="G142" s="46"/>
      <c r="H142" s="494">
        <f t="shared" si="16"/>
        <v>0.14937599999999998</v>
      </c>
      <c r="I142" s="545">
        <f t="shared" si="17"/>
        <v>1.3060138269202486E-3</v>
      </c>
      <c r="J142" s="545">
        <f t="shared" si="18"/>
        <v>0</v>
      </c>
      <c r="K142" s="494">
        <f t="shared" si="19"/>
        <v>-95.450210941581133</v>
      </c>
      <c r="L142" s="546">
        <f t="shared" si="20"/>
        <v>-97.856207232795654</v>
      </c>
      <c r="M142" s="327"/>
      <c r="N142" s="327"/>
      <c r="T142" s="33"/>
      <c r="U142" s="189"/>
      <c r="V142" s="189"/>
      <c r="W142" s="189"/>
      <c r="X142" s="189"/>
      <c r="AE142" s="17"/>
      <c r="AL142" s="548"/>
    </row>
    <row r="143" spans="1:38" s="30" customFormat="1" x14ac:dyDescent="0.25">
      <c r="A143" s="21" t="s">
        <v>463</v>
      </c>
      <c r="B143" s="46">
        <v>0.26452768000000004</v>
      </c>
      <c r="C143" s="545">
        <f t="shared" si="14"/>
        <v>2.6088726311245102E-3</v>
      </c>
      <c r="D143" s="46">
        <v>0.1150938</v>
      </c>
      <c r="E143" s="545">
        <f t="shared" si="15"/>
        <v>1.0741001954780651E-3</v>
      </c>
      <c r="F143" s="46">
        <v>0.14288000000000001</v>
      </c>
      <c r="G143" s="46"/>
      <c r="H143" s="494">
        <f t="shared" si="16"/>
        <v>0.14288000000000001</v>
      </c>
      <c r="I143" s="545">
        <f t="shared" si="17"/>
        <v>1.2492184526989956E-3</v>
      </c>
      <c r="J143" s="545">
        <f t="shared" si="18"/>
        <v>0</v>
      </c>
      <c r="K143" s="494">
        <f t="shared" si="19"/>
        <v>24.142221388119967</v>
      </c>
      <c r="L143" s="546">
        <f t="shared" si="20"/>
        <v>-45.986748910359786</v>
      </c>
      <c r="M143" s="327"/>
      <c r="N143" s="327"/>
      <c r="T143" s="33"/>
      <c r="U143" s="189"/>
      <c r="V143" s="189"/>
      <c r="W143" s="189"/>
      <c r="X143" s="189"/>
      <c r="AE143" s="17"/>
      <c r="AL143" s="548"/>
    </row>
    <row r="144" spans="1:38" s="30" customFormat="1" x14ac:dyDescent="0.25">
      <c r="A144" s="21" t="s">
        <v>900</v>
      </c>
      <c r="B144" s="46">
        <v>1.2036722299999998</v>
      </c>
      <c r="C144" s="545">
        <f t="shared" si="14"/>
        <v>1.1871073521272351E-2</v>
      </c>
      <c r="D144" s="46">
        <v>0.11306556</v>
      </c>
      <c r="E144" s="545">
        <f t="shared" si="15"/>
        <v>1.0551718693607901E-3</v>
      </c>
      <c r="F144" s="46">
        <v>0.13175500000000001</v>
      </c>
      <c r="G144" s="46"/>
      <c r="H144" s="494">
        <f t="shared" si="16"/>
        <v>0.13175500000000001</v>
      </c>
      <c r="I144" s="545">
        <f t="shared" si="17"/>
        <v>1.1519511284669385E-3</v>
      </c>
      <c r="J144" s="545">
        <f t="shared" si="18"/>
        <v>0</v>
      </c>
      <c r="K144" s="494">
        <f t="shared" si="19"/>
        <v>16.529737260400079</v>
      </c>
      <c r="L144" s="546">
        <f t="shared" si="20"/>
        <v>-89.053913788473793</v>
      </c>
      <c r="M144" s="327"/>
      <c r="N144" s="327"/>
      <c r="T144" s="33"/>
      <c r="U144" s="189"/>
      <c r="V144" s="189"/>
      <c r="W144" s="189"/>
      <c r="X144" s="189"/>
      <c r="AE144" s="17"/>
      <c r="AL144" s="548"/>
    </row>
    <row r="145" spans="1:38" s="30" customFormat="1" x14ac:dyDescent="0.25">
      <c r="A145" s="21" t="s">
        <v>903</v>
      </c>
      <c r="B145" s="46">
        <v>0.59467291000000011</v>
      </c>
      <c r="C145" s="545">
        <f t="shared" si="14"/>
        <v>5.8648905073758976E-3</v>
      </c>
      <c r="D145" s="46">
        <v>3.1644728500000001</v>
      </c>
      <c r="E145" s="545">
        <f t="shared" si="15"/>
        <v>2.9532093881425678E-2</v>
      </c>
      <c r="F145" s="46">
        <v>0.10323543</v>
      </c>
      <c r="G145" s="46">
        <v>1.7737369999999999E-2</v>
      </c>
      <c r="H145" s="494">
        <f t="shared" si="16"/>
        <v>0.12097280000000001</v>
      </c>
      <c r="I145" s="545">
        <f t="shared" si="17"/>
        <v>9.0260081276816531E-4</v>
      </c>
      <c r="J145" s="545">
        <f t="shared" si="18"/>
        <v>1.5508013652260343E-4</v>
      </c>
      <c r="K145" s="494">
        <f t="shared" si="19"/>
        <v>-96.177157911150985</v>
      </c>
      <c r="L145" s="546">
        <f t="shared" si="20"/>
        <v>-79.657253934772314</v>
      </c>
      <c r="M145" s="327"/>
      <c r="N145" s="327"/>
      <c r="T145" s="33"/>
      <c r="U145" s="189"/>
      <c r="V145" s="189"/>
      <c r="W145" s="189"/>
      <c r="X145" s="189"/>
      <c r="AE145" s="17"/>
      <c r="AL145" s="548"/>
    </row>
    <row r="146" spans="1:38" s="30" customFormat="1" x14ac:dyDescent="0.25">
      <c r="A146" s="21" t="s">
        <v>933</v>
      </c>
      <c r="B146" s="46">
        <v>0.50664215999999995</v>
      </c>
      <c r="C146" s="545">
        <f t="shared" si="14"/>
        <v>4.9966977557804344E-3</v>
      </c>
      <c r="D146" s="46">
        <v>1.1482506800000001</v>
      </c>
      <c r="E146" s="545">
        <f t="shared" si="15"/>
        <v>1.0715922837249457E-2</v>
      </c>
      <c r="F146" s="46">
        <v>0.10891457000000003</v>
      </c>
      <c r="G146" s="46"/>
      <c r="H146" s="494">
        <f t="shared" si="16"/>
        <v>0.10891457000000003</v>
      </c>
      <c r="I146" s="545">
        <f t="shared" si="17"/>
        <v>9.522542735986595E-4</v>
      </c>
      <c r="J146" s="545">
        <f t="shared" si="18"/>
        <v>0</v>
      </c>
      <c r="K146" s="494">
        <f t="shared" si="19"/>
        <v>-90.514739342457858</v>
      </c>
      <c r="L146" s="546">
        <f t="shared" si="20"/>
        <v>-78.502663497250197</v>
      </c>
      <c r="M146" s="327"/>
      <c r="N146" s="327"/>
      <c r="T146" s="33"/>
      <c r="U146" s="189"/>
      <c r="V146" s="189"/>
      <c r="W146" s="189"/>
      <c r="X146" s="189"/>
      <c r="AE146" s="17"/>
      <c r="AL146" s="548"/>
    </row>
    <row r="147" spans="1:38" s="30" customFormat="1" x14ac:dyDescent="0.25">
      <c r="A147" s="21" t="s">
        <v>828</v>
      </c>
      <c r="B147" s="46">
        <v>0.15239367999999998</v>
      </c>
      <c r="C147" s="545">
        <f t="shared" si="14"/>
        <v>1.5029644569080505E-3</v>
      </c>
      <c r="D147" s="46">
        <v>0.24426824</v>
      </c>
      <c r="E147" s="545">
        <f t="shared" si="15"/>
        <v>2.2796064108847125E-3</v>
      </c>
      <c r="F147" s="46">
        <v>7.6742750000000012E-2</v>
      </c>
      <c r="G147" s="46">
        <v>1.573629E-2</v>
      </c>
      <c r="H147" s="494">
        <f t="shared" si="16"/>
        <v>9.2479040000000012E-2</v>
      </c>
      <c r="I147" s="545">
        <f t="shared" si="17"/>
        <v>6.7097186037840049E-4</v>
      </c>
      <c r="J147" s="545">
        <f t="shared" si="18"/>
        <v>1.3758443340581379E-4</v>
      </c>
      <c r="K147" s="494">
        <f t="shared" si="19"/>
        <v>-62.140374860030924</v>
      </c>
      <c r="L147" s="546">
        <f t="shared" si="20"/>
        <v>-39.315698656269717</v>
      </c>
      <c r="M147" s="327"/>
      <c r="N147" s="327"/>
      <c r="T147" s="33"/>
      <c r="U147" s="189"/>
      <c r="V147" s="189"/>
      <c r="W147" s="189"/>
      <c r="X147" s="189"/>
      <c r="AE147" s="17"/>
      <c r="AL147" s="548"/>
    </row>
    <row r="148" spans="1:38" s="30" customFormat="1" x14ac:dyDescent="0.25">
      <c r="A148" s="21" t="s">
        <v>916</v>
      </c>
      <c r="B148" s="46">
        <v>0.27271265</v>
      </c>
      <c r="C148" s="545">
        <f t="shared" si="14"/>
        <v>2.6895959195893512E-3</v>
      </c>
      <c r="D148" s="46">
        <v>2.0827512699999993</v>
      </c>
      <c r="E148" s="545">
        <f t="shared" si="15"/>
        <v>1.943704653282095E-2</v>
      </c>
      <c r="F148" s="46">
        <v>8.5371900000000001E-2</v>
      </c>
      <c r="G148" s="46"/>
      <c r="H148" s="494">
        <f t="shared" si="16"/>
        <v>8.5371900000000001E-2</v>
      </c>
      <c r="I148" s="545">
        <f t="shared" si="17"/>
        <v>7.4641764293094468E-4</v>
      </c>
      <c r="J148" s="545">
        <f t="shared" si="18"/>
        <v>0</v>
      </c>
      <c r="K148" s="494">
        <f t="shared" si="19"/>
        <v>-95.901003579750537</v>
      </c>
      <c r="L148" s="546">
        <f t="shared" si="20"/>
        <v>-68.695291545881716</v>
      </c>
      <c r="M148" s="327"/>
      <c r="N148" s="327"/>
      <c r="T148" s="33"/>
      <c r="U148" s="189"/>
      <c r="V148" s="189"/>
      <c r="W148" s="189"/>
      <c r="X148" s="189"/>
      <c r="AE148" s="17"/>
      <c r="AL148" s="548"/>
    </row>
    <row r="149" spans="1:38" s="30" customFormat="1" x14ac:dyDescent="0.25">
      <c r="A149" s="21" t="s">
        <v>944</v>
      </c>
      <c r="B149" s="46">
        <v>0.15941943999999997</v>
      </c>
      <c r="C149" s="545">
        <f t="shared" si="14"/>
        <v>1.5722551752814522E-3</v>
      </c>
      <c r="D149" s="46">
        <v>0.36554622000000003</v>
      </c>
      <c r="E149" s="545">
        <f t="shared" si="15"/>
        <v>3.4114197841957415E-3</v>
      </c>
      <c r="F149" s="46">
        <v>7.5497910000000001E-2</v>
      </c>
      <c r="G149" s="46">
        <v>6.3044699999999995E-3</v>
      </c>
      <c r="H149" s="494">
        <f t="shared" si="16"/>
        <v>8.1802380000000008E-2</v>
      </c>
      <c r="I149" s="545">
        <f t="shared" si="17"/>
        <v>6.6008806209552086E-4</v>
      </c>
      <c r="J149" s="545">
        <f t="shared" si="18"/>
        <v>5.5120802481013681E-5</v>
      </c>
      <c r="K149" s="494">
        <f t="shared" si="19"/>
        <v>-77.621877747771535</v>
      </c>
      <c r="L149" s="546">
        <f t="shared" si="20"/>
        <v>-48.687324456791444</v>
      </c>
      <c r="M149" s="327"/>
      <c r="N149" s="327"/>
      <c r="T149" s="33"/>
      <c r="U149" s="189"/>
      <c r="V149" s="189"/>
      <c r="W149" s="189"/>
      <c r="X149" s="189"/>
      <c r="AE149" s="17"/>
      <c r="AL149" s="548"/>
    </row>
    <row r="150" spans="1:38" s="30" customFormat="1" x14ac:dyDescent="0.25">
      <c r="A150" s="21" t="s">
        <v>867</v>
      </c>
      <c r="B150" s="46">
        <v>0.20670084999999999</v>
      </c>
      <c r="C150" s="545">
        <f t="shared" si="14"/>
        <v>2.0385624309530582E-3</v>
      </c>
      <c r="D150" s="46">
        <v>0.51908027000000001</v>
      </c>
      <c r="E150" s="545">
        <f t="shared" si="15"/>
        <v>4.8442593734484996E-3</v>
      </c>
      <c r="F150" s="46">
        <v>7.9314400000000007E-2</v>
      </c>
      <c r="G150" s="46"/>
      <c r="H150" s="494">
        <f t="shared" si="16"/>
        <v>7.9314400000000007E-2</v>
      </c>
      <c r="I150" s="545">
        <f t="shared" si="17"/>
        <v>6.9345613133223129E-4</v>
      </c>
      <c r="J150" s="545">
        <f t="shared" si="18"/>
        <v>0</v>
      </c>
      <c r="K150" s="494">
        <f t="shared" si="19"/>
        <v>-84.720205219897878</v>
      </c>
      <c r="L150" s="546">
        <f t="shared" si="20"/>
        <v>-61.628411300679218</v>
      </c>
      <c r="M150" s="327"/>
      <c r="N150" s="327"/>
      <c r="T150" s="33"/>
      <c r="U150" s="189"/>
      <c r="V150" s="189"/>
      <c r="W150" s="189"/>
      <c r="X150" s="189"/>
      <c r="AE150" s="17"/>
      <c r="AL150" s="548"/>
    </row>
    <row r="151" spans="1:38" s="30" customFormat="1" x14ac:dyDescent="0.25">
      <c r="A151" s="21" t="s">
        <v>847</v>
      </c>
      <c r="B151" s="46">
        <v>0.21187961000000002</v>
      </c>
      <c r="C151" s="545">
        <f t="shared" si="14"/>
        <v>2.0896373325556519E-3</v>
      </c>
      <c r="D151" s="46">
        <v>3.4564350000000001E-2</v>
      </c>
      <c r="E151" s="545">
        <f t="shared" si="15"/>
        <v>3.2256798447503047E-4</v>
      </c>
      <c r="F151" s="46">
        <v>5.7303609999999998E-2</v>
      </c>
      <c r="G151" s="46">
        <v>2.0354480000000001E-2</v>
      </c>
      <c r="H151" s="494">
        <f t="shared" si="16"/>
        <v>7.7658089999999999E-2</v>
      </c>
      <c r="I151" s="545">
        <f t="shared" si="17"/>
        <v>5.0101292705953732E-4</v>
      </c>
      <c r="J151" s="545">
        <f t="shared" si="18"/>
        <v>1.7796187017842002E-4</v>
      </c>
      <c r="K151" s="494">
        <f t="shared" si="19"/>
        <v>124.67684189056065</v>
      </c>
      <c r="L151" s="546">
        <f t="shared" si="20"/>
        <v>-63.348011637363321</v>
      </c>
      <c r="M151" s="327"/>
      <c r="N151" s="327"/>
      <c r="T151" s="33"/>
      <c r="U151" s="189"/>
      <c r="V151" s="189"/>
      <c r="W151" s="189"/>
      <c r="X151" s="189"/>
      <c r="AE151" s="17"/>
      <c r="AL151" s="548"/>
    </row>
    <row r="152" spans="1:38" s="30" customFormat="1" x14ac:dyDescent="0.25">
      <c r="A152" s="21" t="s">
        <v>883</v>
      </c>
      <c r="B152" s="46">
        <v>1.63854967</v>
      </c>
      <c r="C152" s="545">
        <f t="shared" si="14"/>
        <v>1.6160000302429967E-2</v>
      </c>
      <c r="D152" s="46">
        <v>6.4157720000000001E-2</v>
      </c>
      <c r="E152" s="545">
        <f t="shared" si="15"/>
        <v>5.9874484632036634E-4</v>
      </c>
      <c r="F152" s="46">
        <v>7.3358070000000011E-2</v>
      </c>
      <c r="G152" s="46">
        <v>2.1890000000000002E-5</v>
      </c>
      <c r="H152" s="494">
        <f t="shared" si="16"/>
        <v>7.3379960000000008E-2</v>
      </c>
      <c r="I152" s="545">
        <f t="shared" si="17"/>
        <v>6.4137916222273663E-4</v>
      </c>
      <c r="J152" s="545">
        <f t="shared" si="18"/>
        <v>1.9138712156761629E-7</v>
      </c>
      <c r="K152" s="494">
        <f t="shared" si="19"/>
        <v>14.374326269699122</v>
      </c>
      <c r="L152" s="546">
        <f t="shared" si="20"/>
        <v>-95.521651778795331</v>
      </c>
      <c r="M152" s="327"/>
      <c r="N152" s="327"/>
      <c r="T152" s="33"/>
      <c r="U152" s="189"/>
      <c r="V152" s="189"/>
      <c r="W152" s="189"/>
      <c r="X152" s="189"/>
      <c r="AE152" s="17"/>
      <c r="AL152" s="548"/>
    </row>
    <row r="153" spans="1:38" s="30" customFormat="1" x14ac:dyDescent="0.25">
      <c r="A153" s="21" t="s">
        <v>852</v>
      </c>
      <c r="B153" s="46">
        <v>0.40931810000000002</v>
      </c>
      <c r="C153" s="545">
        <f t="shared" si="14"/>
        <v>4.0368508449243768E-3</v>
      </c>
      <c r="D153" s="46">
        <v>0.13232274999999999</v>
      </c>
      <c r="E153" s="545">
        <f t="shared" si="15"/>
        <v>1.2348874712729543E-3</v>
      </c>
      <c r="F153" s="46">
        <v>7.1126599999999998E-2</v>
      </c>
      <c r="G153" s="46"/>
      <c r="H153" s="494">
        <f t="shared" si="16"/>
        <v>7.1126599999999998E-2</v>
      </c>
      <c r="I153" s="545">
        <f t="shared" si="17"/>
        <v>6.2186912932349087E-4</v>
      </c>
      <c r="J153" s="545">
        <f t="shared" si="18"/>
        <v>0</v>
      </c>
      <c r="K153" s="494">
        <f t="shared" si="19"/>
        <v>-46.247640711820146</v>
      </c>
      <c r="L153" s="546">
        <f t="shared" si="20"/>
        <v>-82.623148109013499</v>
      </c>
      <c r="M153" s="327"/>
      <c r="N153" s="327"/>
      <c r="T153" s="33"/>
      <c r="U153" s="189"/>
      <c r="V153" s="189"/>
      <c r="W153" s="189"/>
      <c r="X153" s="189"/>
      <c r="AE153" s="17"/>
      <c r="AL153" s="548"/>
    </row>
    <row r="154" spans="1:38" s="30" customFormat="1" x14ac:dyDescent="0.25">
      <c r="A154" s="21" t="s">
        <v>859</v>
      </c>
      <c r="B154" s="46">
        <v>0.31116580999999999</v>
      </c>
      <c r="C154" s="545">
        <f t="shared" si="14"/>
        <v>3.0688356146724959E-3</v>
      </c>
      <c r="D154" s="46">
        <v>4.3602900000000002E-3</v>
      </c>
      <c r="E154" s="545">
        <f t="shared" si="15"/>
        <v>4.0691925554122406E-5</v>
      </c>
      <c r="F154" s="46">
        <v>1.927427E-2</v>
      </c>
      <c r="G154" s="46">
        <v>4.9542209999999996E-2</v>
      </c>
      <c r="H154" s="494">
        <f t="shared" si="16"/>
        <v>6.8816479999999999E-2</v>
      </c>
      <c r="I154" s="545">
        <f t="shared" si="17"/>
        <v>1.6851745343156961E-4</v>
      </c>
      <c r="J154" s="545">
        <f t="shared" si="18"/>
        <v>4.3315399579709336E-4</v>
      </c>
      <c r="K154" s="494">
        <f t="shared" si="19"/>
        <v>1478.2546573737068</v>
      </c>
      <c r="L154" s="546">
        <f t="shared" si="20"/>
        <v>-77.884305476877429</v>
      </c>
      <c r="M154" s="327"/>
      <c r="N154" s="327"/>
      <c r="T154" s="33"/>
      <c r="U154" s="189"/>
      <c r="V154" s="189"/>
      <c r="W154" s="189"/>
      <c r="X154" s="189"/>
      <c r="AE154" s="17"/>
      <c r="AL154" s="548"/>
    </row>
    <row r="155" spans="1:38" s="30" customFormat="1" x14ac:dyDescent="0.25">
      <c r="A155" s="21" t="s">
        <v>835</v>
      </c>
      <c r="B155" s="46">
        <v>0.46861677000000002</v>
      </c>
      <c r="C155" s="545">
        <f t="shared" si="14"/>
        <v>4.6216768912008353E-3</v>
      </c>
      <c r="D155" s="46">
        <v>0.63403058000000012</v>
      </c>
      <c r="E155" s="545">
        <f t="shared" si="15"/>
        <v>5.9170204643262383E-3</v>
      </c>
      <c r="F155" s="46">
        <v>6.7064399999999996E-2</v>
      </c>
      <c r="G155" s="46"/>
      <c r="H155" s="494">
        <f t="shared" si="16"/>
        <v>6.7064399999999996E-2</v>
      </c>
      <c r="I155" s="545">
        <f t="shared" si="17"/>
        <v>5.8635278554861785E-4</v>
      </c>
      <c r="J155" s="545">
        <f t="shared" si="18"/>
        <v>0</v>
      </c>
      <c r="K155" s="494">
        <f t="shared" si="19"/>
        <v>-89.422529115236046</v>
      </c>
      <c r="L155" s="546">
        <f t="shared" si="20"/>
        <v>-85.688860430667049</v>
      </c>
      <c r="M155" s="327"/>
      <c r="N155" s="327"/>
      <c r="T155" s="33"/>
      <c r="U155" s="189"/>
      <c r="V155" s="189"/>
      <c r="W155" s="189"/>
      <c r="X155" s="189"/>
      <c r="AE155" s="17"/>
      <c r="AL155" s="548"/>
    </row>
    <row r="156" spans="1:38" s="30" customFormat="1" x14ac:dyDescent="0.25">
      <c r="A156" s="21" t="s">
        <v>914</v>
      </c>
      <c r="B156" s="46">
        <v>725.03157322999994</v>
      </c>
      <c r="C156" s="545">
        <f t="shared" si="14"/>
        <v>7.1505372447257427</v>
      </c>
      <c r="D156" s="46">
        <v>91.135311110000004</v>
      </c>
      <c r="E156" s="545">
        <f t="shared" si="15"/>
        <v>0.85051024015372934</v>
      </c>
      <c r="F156" s="46">
        <v>4.5336499999999993E-3</v>
      </c>
      <c r="G156" s="46">
        <v>6.0087370000000001E-2</v>
      </c>
      <c r="H156" s="494">
        <f t="shared" si="16"/>
        <v>6.4621020000000001E-2</v>
      </c>
      <c r="I156" s="545">
        <f t="shared" si="17"/>
        <v>3.9638292539745238E-5</v>
      </c>
      <c r="J156" s="545">
        <f t="shared" si="18"/>
        <v>5.2535170337452428E-4</v>
      </c>
      <c r="K156" s="494">
        <f t="shared" si="19"/>
        <v>-99.92909332374802</v>
      </c>
      <c r="L156" s="546">
        <f t="shared" si="20"/>
        <v>-99.991087144010564</v>
      </c>
      <c r="M156" s="327"/>
      <c r="N156" s="327"/>
      <c r="T156" s="33"/>
      <c r="U156" s="189"/>
      <c r="V156" s="189"/>
      <c r="W156" s="189"/>
      <c r="X156" s="189"/>
      <c r="AE156" s="17"/>
      <c r="AL156" s="548"/>
    </row>
    <row r="157" spans="1:38" s="30" customFormat="1" x14ac:dyDescent="0.25">
      <c r="A157" s="21" t="s">
        <v>843</v>
      </c>
      <c r="B157" s="46">
        <v>0.94163591999999985</v>
      </c>
      <c r="C157" s="545">
        <f t="shared" si="14"/>
        <v>9.2867717290370071E-3</v>
      </c>
      <c r="D157" s="46">
        <v>3.2157320000000003E-2</v>
      </c>
      <c r="E157" s="545">
        <f t="shared" si="15"/>
        <v>3.0010464245728874E-4</v>
      </c>
      <c r="F157" s="46">
        <v>3.5725659999999999E-2</v>
      </c>
      <c r="G157" s="46">
        <v>2.1350389999999997E-2</v>
      </c>
      <c r="H157" s="494">
        <f t="shared" si="16"/>
        <v>5.7076049999999996E-2</v>
      </c>
      <c r="I157" s="545">
        <f t="shared" si="17"/>
        <v>3.1235409929206604E-4</v>
      </c>
      <c r="J157" s="545">
        <f t="shared" si="18"/>
        <v>1.8666924104367372E-4</v>
      </c>
      <c r="K157" s="494">
        <f t="shared" si="19"/>
        <v>77.490070689970409</v>
      </c>
      <c r="L157" s="546">
        <f t="shared" si="20"/>
        <v>-93.93862863685149</v>
      </c>
      <c r="M157" s="327"/>
      <c r="N157" s="327"/>
      <c r="T157" s="33"/>
      <c r="U157" s="189"/>
      <c r="V157" s="189"/>
      <c r="W157" s="189"/>
      <c r="X157" s="189"/>
      <c r="AE157" s="17"/>
      <c r="AL157" s="548"/>
    </row>
    <row r="158" spans="1:38" s="30" customFormat="1" x14ac:dyDescent="0.25">
      <c r="A158" s="21" t="s">
        <v>802</v>
      </c>
      <c r="B158" s="46">
        <v>3.9890559999999992E-2</v>
      </c>
      <c r="C158" s="545">
        <f t="shared" si="14"/>
        <v>3.9341588080396767E-4</v>
      </c>
      <c r="D158" s="46">
        <v>6.0710349999999996E-2</v>
      </c>
      <c r="E158" s="545">
        <f t="shared" si="15"/>
        <v>5.6657264598563737E-4</v>
      </c>
      <c r="F158" s="46">
        <v>5.704476E-2</v>
      </c>
      <c r="G158" s="46"/>
      <c r="H158" s="494">
        <f t="shared" si="16"/>
        <v>5.704476E-2</v>
      </c>
      <c r="I158" s="545">
        <f t="shared" si="17"/>
        <v>4.9874976778965254E-4</v>
      </c>
      <c r="J158" s="545">
        <f t="shared" si="18"/>
        <v>0</v>
      </c>
      <c r="K158" s="494">
        <f t="shared" si="19"/>
        <v>-6.0378337466346244</v>
      </c>
      <c r="L158" s="546">
        <f t="shared" si="20"/>
        <v>43.003156636557648</v>
      </c>
      <c r="M158" s="327"/>
      <c r="N158" s="327"/>
      <c r="T158" s="33"/>
      <c r="U158" s="189"/>
      <c r="V158" s="189"/>
      <c r="W158" s="189"/>
      <c r="X158" s="189"/>
      <c r="AE158" s="17"/>
      <c r="AL158" s="548"/>
    </row>
    <row r="159" spans="1:38" s="30" customFormat="1" x14ac:dyDescent="0.25">
      <c r="A159" s="21" t="s">
        <v>840</v>
      </c>
      <c r="B159" s="46">
        <v>0.39280907999999998</v>
      </c>
      <c r="C159" s="545">
        <f t="shared" si="14"/>
        <v>3.8740326081157105E-3</v>
      </c>
      <c r="D159" s="46">
        <v>0.35853754000000004</v>
      </c>
      <c r="E159" s="545">
        <f t="shared" si="15"/>
        <v>3.3460120510420601E-3</v>
      </c>
      <c r="F159" s="46">
        <v>5.1251390000000001E-2</v>
      </c>
      <c r="G159" s="46"/>
      <c r="H159" s="494">
        <f t="shared" si="16"/>
        <v>5.1251390000000001E-2</v>
      </c>
      <c r="I159" s="545">
        <f t="shared" si="17"/>
        <v>4.4809757918863922E-4</v>
      </c>
      <c r="J159" s="545">
        <f t="shared" si="18"/>
        <v>0</v>
      </c>
      <c r="K159" s="494">
        <f t="shared" si="19"/>
        <v>-85.70543268635133</v>
      </c>
      <c r="L159" s="546">
        <f t="shared" si="20"/>
        <v>-86.952595393161474</v>
      </c>
      <c r="M159" s="327"/>
      <c r="N159" s="327"/>
      <c r="T159" s="33"/>
      <c r="U159" s="189"/>
      <c r="V159" s="189"/>
      <c r="W159" s="189"/>
      <c r="X159" s="189"/>
      <c r="AE159" s="17"/>
      <c r="AL159" s="548"/>
    </row>
    <row r="160" spans="1:38" s="30" customFormat="1" x14ac:dyDescent="0.25">
      <c r="A160" s="21" t="s">
        <v>923</v>
      </c>
      <c r="B160" s="46">
        <v>2.5500549999999997E-2</v>
      </c>
      <c r="C160" s="545">
        <f t="shared" si="14"/>
        <v>2.5149612688404524E-4</v>
      </c>
      <c r="D160" s="46">
        <v>2.4115060000000001E-2</v>
      </c>
      <c r="E160" s="545">
        <f t="shared" si="15"/>
        <v>2.2505113794109912E-4</v>
      </c>
      <c r="F160" s="46">
        <v>4.6574760000000007E-2</v>
      </c>
      <c r="G160" s="46"/>
      <c r="H160" s="494">
        <f t="shared" si="16"/>
        <v>4.6574760000000007E-2</v>
      </c>
      <c r="I160" s="545">
        <f t="shared" si="17"/>
        <v>4.0720919388316821E-4</v>
      </c>
      <c r="J160" s="545">
        <f t="shared" si="18"/>
        <v>0</v>
      </c>
      <c r="K160" s="494">
        <f t="shared" si="19"/>
        <v>93.135575860064222</v>
      </c>
      <c r="L160" s="546">
        <f t="shared" si="20"/>
        <v>82.64217830595814</v>
      </c>
      <c r="M160" s="327"/>
      <c r="N160" s="327"/>
      <c r="T160" s="33"/>
      <c r="U160" s="189"/>
      <c r="V160" s="189"/>
      <c r="W160" s="189"/>
      <c r="X160" s="189"/>
      <c r="AE160" s="17"/>
      <c r="AL160" s="548"/>
    </row>
    <row r="161" spans="1:38" s="30" customFormat="1" x14ac:dyDescent="0.25">
      <c r="A161" s="21" t="s">
        <v>785</v>
      </c>
      <c r="B161" s="46">
        <v>6.8306000000000006E-2</v>
      </c>
      <c r="C161" s="545">
        <f t="shared" si="14"/>
        <v>6.7365976196362811E-4</v>
      </c>
      <c r="D161" s="46">
        <v>0.13634599999999999</v>
      </c>
      <c r="E161" s="545">
        <f t="shared" si="15"/>
        <v>1.2724340081972467E-3</v>
      </c>
      <c r="F161" s="46">
        <v>4.5710000000000001E-2</v>
      </c>
      <c r="G161" s="46"/>
      <c r="H161" s="494">
        <f t="shared" si="16"/>
        <v>4.5710000000000001E-2</v>
      </c>
      <c r="I161" s="545">
        <f t="shared" si="17"/>
        <v>3.9964848455256919E-4</v>
      </c>
      <c r="J161" s="545">
        <f t="shared" si="18"/>
        <v>0</v>
      </c>
      <c r="K161" s="494">
        <f t="shared" si="19"/>
        <v>-66.474997433001334</v>
      </c>
      <c r="L161" s="546">
        <f t="shared" si="20"/>
        <v>-33.080549292887895</v>
      </c>
      <c r="M161" s="327"/>
      <c r="N161" s="327"/>
      <c r="T161" s="33"/>
      <c r="U161" s="189"/>
      <c r="V161" s="189"/>
      <c r="W161" s="189"/>
      <c r="X161" s="189"/>
      <c r="AE161" s="17"/>
      <c r="AL161" s="548"/>
    </row>
    <row r="162" spans="1:38" s="30" customFormat="1" x14ac:dyDescent="0.25">
      <c r="A162" s="21" t="s">
        <v>845</v>
      </c>
      <c r="B162" s="46">
        <v>1.5800000000000002E-2</v>
      </c>
      <c r="C162" s="545">
        <f t="shared" si="14"/>
        <v>1.5582561179142864E-4</v>
      </c>
      <c r="D162" s="46">
        <v>5.2691510000000004E-2</v>
      </c>
      <c r="E162" s="545">
        <f t="shared" si="15"/>
        <v>4.9173770603659303E-4</v>
      </c>
      <c r="F162" s="46">
        <v>4.5121349999999998E-2</v>
      </c>
      <c r="G162" s="46"/>
      <c r="H162" s="494">
        <f t="shared" si="16"/>
        <v>4.5121349999999998E-2</v>
      </c>
      <c r="I162" s="545">
        <f t="shared" si="17"/>
        <v>3.945018409202815E-4</v>
      </c>
      <c r="J162" s="545">
        <f t="shared" si="18"/>
        <v>0</v>
      </c>
      <c r="K162" s="494">
        <f t="shared" si="19"/>
        <v>-14.366944503962797</v>
      </c>
      <c r="L162" s="546">
        <f t="shared" si="20"/>
        <v>185.57816455696198</v>
      </c>
      <c r="M162" s="327"/>
      <c r="N162" s="327"/>
      <c r="T162" s="33"/>
      <c r="U162" s="189"/>
      <c r="V162" s="189"/>
      <c r="W162" s="189"/>
      <c r="X162" s="189"/>
      <c r="AE162" s="17"/>
      <c r="AL162" s="548"/>
    </row>
    <row r="163" spans="1:38" s="30" customFormat="1" x14ac:dyDescent="0.25">
      <c r="A163" s="21" t="s">
        <v>851</v>
      </c>
      <c r="B163" s="46">
        <v>4.6805840000000001E-2</v>
      </c>
      <c r="C163" s="545">
        <f t="shared" si="14"/>
        <v>4.616170033804887E-4</v>
      </c>
      <c r="D163" s="46">
        <v>0.85244611999999997</v>
      </c>
      <c r="E163" s="545">
        <f t="shared" si="15"/>
        <v>7.9553594036040013E-3</v>
      </c>
      <c r="F163" s="46">
        <v>2.6223100000000001E-3</v>
      </c>
      <c r="G163" s="46">
        <v>4.2178890000000004E-2</v>
      </c>
      <c r="H163" s="494">
        <f t="shared" si="16"/>
        <v>4.4801200000000006E-2</v>
      </c>
      <c r="I163" s="545">
        <f t="shared" si="17"/>
        <v>2.2927197933210406E-5</v>
      </c>
      <c r="J163" s="545">
        <f t="shared" si="18"/>
        <v>3.6877552983175486E-4</v>
      </c>
      <c r="K163" s="494">
        <f t="shared" si="19"/>
        <v>-94.744395106168128</v>
      </c>
      <c r="L163" s="546">
        <f t="shared" si="20"/>
        <v>-4.2828843580202669</v>
      </c>
      <c r="M163" s="327"/>
      <c r="N163" s="327"/>
      <c r="T163" s="33"/>
      <c r="U163" s="189"/>
      <c r="V163" s="189"/>
      <c r="W163" s="189"/>
      <c r="X163" s="189"/>
      <c r="AE163" s="17"/>
      <c r="AL163" s="548"/>
    </row>
    <row r="164" spans="1:38" s="30" customFormat="1" x14ac:dyDescent="0.25">
      <c r="A164" s="21" t="s">
        <v>873</v>
      </c>
      <c r="B164" s="46">
        <v>0.11290638</v>
      </c>
      <c r="C164" s="545">
        <f t="shared" si="14"/>
        <v>1.1135256796617418E-3</v>
      </c>
      <c r="D164" s="46">
        <v>1.3227529999999999E-2</v>
      </c>
      <c r="E164" s="545">
        <f t="shared" si="15"/>
        <v>1.2344446493809373E-4</v>
      </c>
      <c r="F164" s="46">
        <v>3.5457009999999997E-2</v>
      </c>
      <c r="G164" s="46">
        <v>8.1914899999999992E-3</v>
      </c>
      <c r="H164" s="494">
        <f t="shared" si="16"/>
        <v>4.3648499999999993E-2</v>
      </c>
      <c r="I164" s="545">
        <f t="shared" si="17"/>
        <v>3.1000525734555434E-4</v>
      </c>
      <c r="J164" s="545">
        <f t="shared" si="18"/>
        <v>7.1619264159429553E-5</v>
      </c>
      <c r="K164" s="494">
        <f t="shared" si="19"/>
        <v>229.98224158251764</v>
      </c>
      <c r="L164" s="546">
        <f t="shared" si="20"/>
        <v>-61.340980022563826</v>
      </c>
      <c r="M164" s="327"/>
      <c r="N164" s="327"/>
      <c r="T164" s="33"/>
      <c r="U164" s="189"/>
      <c r="V164" s="189"/>
      <c r="W164" s="189"/>
      <c r="X164" s="189"/>
      <c r="AE164" s="17"/>
      <c r="AL164" s="548"/>
    </row>
    <row r="165" spans="1:38" s="30" customFormat="1" x14ac:dyDescent="0.25">
      <c r="A165" s="21" t="s">
        <v>897</v>
      </c>
      <c r="B165" s="46">
        <v>0.29482320000000001</v>
      </c>
      <c r="C165" s="545">
        <f t="shared" si="14"/>
        <v>2.9076585766016909E-3</v>
      </c>
      <c r="D165" s="46">
        <v>0.27474796000000007</v>
      </c>
      <c r="E165" s="545">
        <f t="shared" si="15"/>
        <v>2.5640550363546927E-3</v>
      </c>
      <c r="F165" s="46">
        <v>5.5180000000000003E-3</v>
      </c>
      <c r="G165" s="46">
        <v>3.7015730000000004E-2</v>
      </c>
      <c r="H165" s="494">
        <f t="shared" si="16"/>
        <v>4.2533730000000006E-2</v>
      </c>
      <c r="I165" s="545">
        <f t="shared" si="17"/>
        <v>4.8244592819100349E-5</v>
      </c>
      <c r="J165" s="545">
        <f t="shared" si="18"/>
        <v>3.2363334935696939E-4</v>
      </c>
      <c r="K165" s="494">
        <f t="shared" si="19"/>
        <v>-84.519000614235679</v>
      </c>
      <c r="L165" s="546">
        <f t="shared" si="20"/>
        <v>-85.573140105663327</v>
      </c>
      <c r="M165" s="327"/>
      <c r="N165" s="327"/>
      <c r="T165" s="33"/>
      <c r="U165" s="189"/>
      <c r="V165" s="189"/>
      <c r="W165" s="189"/>
      <c r="X165" s="189"/>
      <c r="AE165" s="17"/>
      <c r="AL165" s="548"/>
    </row>
    <row r="166" spans="1:38" s="30" customFormat="1" x14ac:dyDescent="0.25">
      <c r="A166" s="21" t="s">
        <v>951</v>
      </c>
      <c r="B166" s="46">
        <v>2.4885929999999997E-2</v>
      </c>
      <c r="C166" s="545">
        <f t="shared" si="14"/>
        <v>2.4543451058535866E-4</v>
      </c>
      <c r="D166" s="46">
        <v>3.2040000000000003E-3</v>
      </c>
      <c r="E166" s="545">
        <f t="shared" si="15"/>
        <v>2.9900976649582528E-5</v>
      </c>
      <c r="F166" s="46">
        <v>4.1739129999999999E-2</v>
      </c>
      <c r="G166" s="46"/>
      <c r="H166" s="494">
        <f t="shared" si="16"/>
        <v>4.1739129999999999E-2</v>
      </c>
      <c r="I166" s="545">
        <f t="shared" si="17"/>
        <v>3.6493065086507713E-4</v>
      </c>
      <c r="J166" s="545">
        <f t="shared" si="18"/>
        <v>0</v>
      </c>
      <c r="K166" s="494">
        <f t="shared" si="19"/>
        <v>1202.719413233458</v>
      </c>
      <c r="L166" s="546">
        <f t="shared" si="20"/>
        <v>67.721801033756847</v>
      </c>
      <c r="M166" s="327"/>
      <c r="N166" s="327"/>
      <c r="T166" s="33"/>
      <c r="U166" s="189"/>
      <c r="V166" s="189"/>
      <c r="W166" s="189"/>
      <c r="X166" s="189"/>
      <c r="AE166" s="17"/>
      <c r="AL166" s="548"/>
    </row>
    <row r="167" spans="1:38" s="30" customFormat="1" x14ac:dyDescent="0.25">
      <c r="A167" s="21" t="s">
        <v>966</v>
      </c>
      <c r="B167" s="46">
        <v>2.4703649999999997E-2</v>
      </c>
      <c r="C167" s="545">
        <f t="shared" si="14"/>
        <v>2.4363679586907123E-4</v>
      </c>
      <c r="D167" s="46">
        <v>0</v>
      </c>
      <c r="E167" s="545">
        <f t="shared" si="15"/>
        <v>0</v>
      </c>
      <c r="F167" s="46">
        <v>4.0828000000000003E-2</v>
      </c>
      <c r="G167" s="46"/>
      <c r="H167" s="494">
        <f t="shared" si="16"/>
        <v>4.0828000000000003E-2</v>
      </c>
      <c r="I167" s="545">
        <f t="shared" si="17"/>
        <v>3.5696452258394875E-4</v>
      </c>
      <c r="J167" s="545">
        <f t="shared" si="18"/>
        <v>0</v>
      </c>
      <c r="K167" s="494" t="s">
        <v>240</v>
      </c>
      <c r="L167" s="546">
        <f t="shared" si="20"/>
        <v>65.271123902743142</v>
      </c>
      <c r="M167" s="327"/>
      <c r="N167" s="327"/>
      <c r="T167" s="33"/>
      <c r="U167" s="189"/>
      <c r="V167" s="189"/>
      <c r="W167" s="189"/>
      <c r="X167" s="189"/>
      <c r="AE167" s="17"/>
      <c r="AL167" s="548"/>
    </row>
    <row r="168" spans="1:38" s="30" customFormat="1" x14ac:dyDescent="0.25">
      <c r="A168" s="21" t="s">
        <v>890</v>
      </c>
      <c r="B168" s="46">
        <v>0.10485422</v>
      </c>
      <c r="C168" s="545">
        <f t="shared" si="14"/>
        <v>1.0341122139501931E-3</v>
      </c>
      <c r="D168" s="46">
        <v>0.27720424000000005</v>
      </c>
      <c r="E168" s="545">
        <f t="shared" si="15"/>
        <v>2.5869779985659394E-3</v>
      </c>
      <c r="F168" s="46">
        <v>3.5318469999999998E-2</v>
      </c>
      <c r="G168" s="46">
        <v>4.5641099999999997E-3</v>
      </c>
      <c r="H168" s="494">
        <f t="shared" si="16"/>
        <v>3.9882580000000001E-2</v>
      </c>
      <c r="I168" s="545">
        <f t="shared" si="17"/>
        <v>3.0879398407821868E-4</v>
      </c>
      <c r="J168" s="545">
        <f t="shared" si="18"/>
        <v>3.9904608287710047E-5</v>
      </c>
      <c r="K168" s="494">
        <f t="shared" si="19"/>
        <v>-85.612564944894061</v>
      </c>
      <c r="L168" s="546">
        <f t="shared" si="20"/>
        <v>-61.963781715223284</v>
      </c>
      <c r="M168" s="327"/>
      <c r="N168" s="327"/>
      <c r="T168" s="33"/>
      <c r="U168" s="189"/>
      <c r="V168" s="189"/>
      <c r="W168" s="189"/>
      <c r="X168" s="189"/>
      <c r="AE168" s="17"/>
      <c r="AL168" s="548"/>
    </row>
    <row r="169" spans="1:38" s="30" customFormat="1" x14ac:dyDescent="0.25">
      <c r="A169" s="21" t="s">
        <v>882</v>
      </c>
      <c r="B169" s="46">
        <v>0.10401052</v>
      </c>
      <c r="C169" s="545">
        <f t="shared" si="14"/>
        <v>1.0257913235281408E-3</v>
      </c>
      <c r="D169" s="46">
        <v>1.154059E-2</v>
      </c>
      <c r="E169" s="545">
        <f t="shared" si="15"/>
        <v>1.0770128343083818E-4</v>
      </c>
      <c r="F169" s="46">
        <v>3.5850640000000003E-2</v>
      </c>
      <c r="G169" s="46"/>
      <c r="H169" s="494">
        <f t="shared" si="16"/>
        <v>3.5850640000000003E-2</v>
      </c>
      <c r="I169" s="545">
        <f t="shared" si="17"/>
        <v>3.1344681571296695E-4</v>
      </c>
      <c r="J169" s="545">
        <f t="shared" si="18"/>
        <v>0</v>
      </c>
      <c r="K169" s="494">
        <f t="shared" si="19"/>
        <v>210.64824242088145</v>
      </c>
      <c r="L169" s="546">
        <f t="shared" si="20"/>
        <v>-65.531717368589256</v>
      </c>
      <c r="M169" s="327"/>
      <c r="N169" s="327"/>
      <c r="T169" s="33"/>
      <c r="U169" s="189"/>
      <c r="V169" s="189"/>
      <c r="W169" s="189"/>
      <c r="X169" s="189"/>
      <c r="AE169" s="17"/>
      <c r="AL169" s="548"/>
    </row>
    <row r="170" spans="1:38" s="30" customFormat="1" x14ac:dyDescent="0.25">
      <c r="A170" s="21" t="s">
        <v>810</v>
      </c>
      <c r="B170" s="46">
        <v>2.1634E-2</v>
      </c>
      <c r="C170" s="545">
        <f t="shared" si="14"/>
        <v>2.1336273958833966E-4</v>
      </c>
      <c r="D170" s="46">
        <v>0</v>
      </c>
      <c r="E170" s="545">
        <f t="shared" si="15"/>
        <v>0</v>
      </c>
      <c r="F170" s="46">
        <v>3.1640000000000001E-2</v>
      </c>
      <c r="G170" s="46"/>
      <c r="H170" s="494">
        <f t="shared" si="16"/>
        <v>3.1640000000000001E-2</v>
      </c>
      <c r="I170" s="545">
        <f t="shared" si="17"/>
        <v>2.7663264168110459E-4</v>
      </c>
      <c r="J170" s="545">
        <f t="shared" si="18"/>
        <v>0</v>
      </c>
      <c r="K170" s="494" t="s">
        <v>240</v>
      </c>
      <c r="L170" s="546">
        <f t="shared" si="20"/>
        <v>46.251271147268191</v>
      </c>
      <c r="M170" s="327"/>
      <c r="N170" s="327"/>
      <c r="T170" s="33"/>
      <c r="U170" s="189"/>
      <c r="V170" s="189"/>
      <c r="W170" s="189"/>
      <c r="X170" s="189"/>
      <c r="AE170" s="17"/>
      <c r="AL170" s="548"/>
    </row>
    <row r="171" spans="1:38" s="30" customFormat="1" x14ac:dyDescent="0.25">
      <c r="A171" s="21" t="s">
        <v>866</v>
      </c>
      <c r="B171" s="46">
        <v>0.30949479000000002</v>
      </c>
      <c r="C171" s="545">
        <f t="shared" si="14"/>
        <v>3.0523553796208691E-3</v>
      </c>
      <c r="D171" s="46">
        <v>1.0261272500000003</v>
      </c>
      <c r="E171" s="545">
        <f t="shared" si="15"/>
        <v>9.5762193950531625E-3</v>
      </c>
      <c r="F171" s="46">
        <v>2.9362840000000005E-2</v>
      </c>
      <c r="G171" s="46"/>
      <c r="H171" s="494">
        <f t="shared" si="16"/>
        <v>2.9362840000000005E-2</v>
      </c>
      <c r="I171" s="545">
        <f t="shared" si="17"/>
        <v>2.5672313515991168E-4</v>
      </c>
      <c r="J171" s="545">
        <f t="shared" si="18"/>
        <v>0</v>
      </c>
      <c r="K171" s="494">
        <f t="shared" si="19"/>
        <v>-97.138479657371931</v>
      </c>
      <c r="L171" s="546">
        <f t="shared" si="20"/>
        <v>-90.512654510274629</v>
      </c>
      <c r="M171" s="327"/>
      <c r="N171" s="327"/>
      <c r="T171" s="33"/>
      <c r="U171" s="189"/>
      <c r="V171" s="189"/>
      <c r="W171" s="189"/>
      <c r="X171" s="189"/>
      <c r="AE171" s="17"/>
      <c r="AL171" s="548"/>
    </row>
    <row r="172" spans="1:38" s="30" customFormat="1" x14ac:dyDescent="0.25">
      <c r="A172" s="21" t="s">
        <v>888</v>
      </c>
      <c r="B172" s="46">
        <v>0.10718091</v>
      </c>
      <c r="C172" s="545">
        <f t="shared" si="14"/>
        <v>1.0570589160197499E-3</v>
      </c>
      <c r="D172" s="46">
        <v>0.40354593999999999</v>
      </c>
      <c r="E172" s="545">
        <f t="shared" si="15"/>
        <v>3.7660479803289107E-3</v>
      </c>
      <c r="F172" s="46">
        <v>2.9329000000000001E-2</v>
      </c>
      <c r="G172" s="46"/>
      <c r="H172" s="494">
        <f t="shared" si="16"/>
        <v>2.9329000000000001E-2</v>
      </c>
      <c r="I172" s="545">
        <f t="shared" si="17"/>
        <v>2.564272676316408E-4</v>
      </c>
      <c r="J172" s="545">
        <f t="shared" si="18"/>
        <v>0</v>
      </c>
      <c r="K172" s="494">
        <f t="shared" si="19"/>
        <v>-92.732178150522344</v>
      </c>
      <c r="L172" s="546">
        <f t="shared" si="20"/>
        <v>-72.635985270138121</v>
      </c>
      <c r="M172" s="327"/>
      <c r="N172" s="327"/>
      <c r="T172" s="33"/>
      <c r="U172" s="189"/>
      <c r="V172" s="189"/>
      <c r="W172" s="189"/>
      <c r="X172" s="189"/>
      <c r="AE172" s="17"/>
      <c r="AL172" s="548"/>
    </row>
    <row r="173" spans="1:38" s="30" customFormat="1" x14ac:dyDescent="0.25">
      <c r="A173" s="21" t="s">
        <v>807</v>
      </c>
      <c r="B173" s="46">
        <v>7.4086050000000014E-2</v>
      </c>
      <c r="C173" s="545">
        <f t="shared" si="14"/>
        <v>7.3066481433293497E-4</v>
      </c>
      <c r="D173" s="46">
        <v>1.7296430000000002E-2</v>
      </c>
      <c r="E173" s="545">
        <f t="shared" si="15"/>
        <v>1.6141702545291469E-4</v>
      </c>
      <c r="F173" s="46">
        <v>2.8405099999999999E-2</v>
      </c>
      <c r="G173" s="46"/>
      <c r="H173" s="494">
        <f t="shared" si="16"/>
        <v>2.8405099999999999E-2</v>
      </c>
      <c r="I173" s="545">
        <f t="shared" si="17"/>
        <v>2.4834948957698933E-4</v>
      </c>
      <c r="J173" s="545">
        <f t="shared" si="18"/>
        <v>0</v>
      </c>
      <c r="K173" s="494">
        <f t="shared" si="19"/>
        <v>64.225218730107869</v>
      </c>
      <c r="L173" s="546">
        <f t="shared" si="20"/>
        <v>-61.659313730452638</v>
      </c>
      <c r="M173" s="327"/>
      <c r="N173" s="327"/>
      <c r="T173" s="33"/>
      <c r="U173" s="189"/>
      <c r="V173" s="189"/>
      <c r="W173" s="189"/>
      <c r="X173" s="189"/>
      <c r="AE173" s="17"/>
      <c r="AL173" s="548"/>
    </row>
    <row r="174" spans="1:38" s="30" customFormat="1" x14ac:dyDescent="0.25">
      <c r="A174" s="21" t="s">
        <v>846</v>
      </c>
      <c r="B174" s="46">
        <v>0.21096852999999996</v>
      </c>
      <c r="C174" s="545">
        <f t="shared" si="14"/>
        <v>2.0806519149359718E-3</v>
      </c>
      <c r="D174" s="46">
        <v>9.3980969999999997E-2</v>
      </c>
      <c r="E174" s="545">
        <f t="shared" si="15"/>
        <v>8.7706703791358171E-4</v>
      </c>
      <c r="F174" s="46">
        <v>2.0512899999999999E-3</v>
      </c>
      <c r="G174" s="46">
        <v>2.5291029999999999E-2</v>
      </c>
      <c r="H174" s="494">
        <f t="shared" si="16"/>
        <v>2.734232E-2</v>
      </c>
      <c r="I174" s="545">
        <f t="shared" si="17"/>
        <v>1.793469568754845E-5</v>
      </c>
      <c r="J174" s="545">
        <f t="shared" si="18"/>
        <v>2.211227699031626E-4</v>
      </c>
      <c r="K174" s="494">
        <f t="shared" si="19"/>
        <v>-70.906535652909312</v>
      </c>
      <c r="L174" s="546">
        <f t="shared" si="20"/>
        <v>-87.039621501842007</v>
      </c>
      <c r="M174" s="327"/>
      <c r="N174" s="327"/>
      <c r="T174" s="33"/>
      <c r="U174" s="189"/>
      <c r="V174" s="189"/>
      <c r="W174" s="189"/>
      <c r="X174" s="189"/>
      <c r="AE174" s="17"/>
      <c r="AL174" s="548"/>
    </row>
    <row r="175" spans="1:38" s="30" customFormat="1" x14ac:dyDescent="0.25">
      <c r="A175" s="21" t="s">
        <v>898</v>
      </c>
      <c r="B175" s="46">
        <v>0.69289894000000007</v>
      </c>
      <c r="C175" s="545">
        <f t="shared" si="14"/>
        <v>6.8336329895653412E-3</v>
      </c>
      <c r="D175" s="46">
        <v>0.52224829000000006</v>
      </c>
      <c r="E175" s="545">
        <f t="shared" si="15"/>
        <v>4.873824570716106E-3</v>
      </c>
      <c r="F175" s="46">
        <v>2.4565530000000002E-2</v>
      </c>
      <c r="G175" s="46"/>
      <c r="H175" s="494">
        <f t="shared" si="16"/>
        <v>2.4565530000000002E-2</v>
      </c>
      <c r="I175" s="545">
        <f t="shared" si="17"/>
        <v>2.1477962889369232E-4</v>
      </c>
      <c r="J175" s="545">
        <f t="shared" si="18"/>
        <v>0</v>
      </c>
      <c r="K175" s="494">
        <f t="shared" si="19"/>
        <v>-95.296197140252957</v>
      </c>
      <c r="L175" s="546">
        <f t="shared" si="20"/>
        <v>-96.454673462193497</v>
      </c>
      <c r="M175" s="327"/>
      <c r="N175" s="327"/>
      <c r="T175" s="33"/>
      <c r="U175" s="189"/>
      <c r="V175" s="189"/>
      <c r="W175" s="189"/>
      <c r="X175" s="189"/>
      <c r="AE175" s="17"/>
      <c r="AL175" s="548"/>
    </row>
    <row r="176" spans="1:38" s="30" customFormat="1" x14ac:dyDescent="0.25">
      <c r="A176" s="21" t="s">
        <v>789</v>
      </c>
      <c r="B176" s="46">
        <v>7.454400000000001E-4</v>
      </c>
      <c r="C176" s="545">
        <f t="shared" si="14"/>
        <v>7.3518129147976311E-6</v>
      </c>
      <c r="D176" s="46">
        <v>7.1108660000000004E-2</v>
      </c>
      <c r="E176" s="545">
        <f t="shared" si="15"/>
        <v>6.6361372729185485E-4</v>
      </c>
      <c r="F176" s="46">
        <v>2.006428E-2</v>
      </c>
      <c r="G176" s="46"/>
      <c r="H176" s="494">
        <f t="shared" si="16"/>
        <v>2.006428E-2</v>
      </c>
      <c r="I176" s="545">
        <f t="shared" si="17"/>
        <v>1.7542461377463187E-4</v>
      </c>
      <c r="J176" s="545">
        <f t="shared" si="18"/>
        <v>0</v>
      </c>
      <c r="K176" s="494">
        <f t="shared" si="19"/>
        <v>-71.78363366712297</v>
      </c>
      <c r="L176" s="546">
        <f t="shared" si="20"/>
        <v>2591.6022751663445</v>
      </c>
      <c r="M176" s="327"/>
      <c r="N176" s="327"/>
      <c r="T176" s="33"/>
      <c r="U176" s="189"/>
      <c r="V176" s="189"/>
      <c r="W176" s="189"/>
      <c r="X176" s="189"/>
      <c r="AE176" s="17"/>
      <c r="AL176" s="548"/>
    </row>
    <row r="177" spans="1:38" s="30" customFormat="1" x14ac:dyDescent="0.25">
      <c r="A177" s="21" t="s">
        <v>819</v>
      </c>
      <c r="B177" s="46">
        <v>1.2086E-2</v>
      </c>
      <c r="C177" s="545">
        <f t="shared" si="14"/>
        <v>1.1919673063994976E-4</v>
      </c>
      <c r="D177" s="46">
        <v>3.5732020000000003E-2</v>
      </c>
      <c r="E177" s="545">
        <f t="shared" si="15"/>
        <v>3.3346513597453677E-4</v>
      </c>
      <c r="F177" s="46">
        <v>1.9928000000000001E-2</v>
      </c>
      <c r="G177" s="46"/>
      <c r="H177" s="494">
        <f t="shared" si="16"/>
        <v>1.9928000000000001E-2</v>
      </c>
      <c r="I177" s="545">
        <f t="shared" si="17"/>
        <v>1.7423309998170202E-4</v>
      </c>
      <c r="J177" s="545">
        <f t="shared" si="18"/>
        <v>0</v>
      </c>
      <c r="K177" s="494">
        <f t="shared" si="19"/>
        <v>-44.229293502018642</v>
      </c>
      <c r="L177" s="546">
        <f t="shared" si="20"/>
        <v>64.884990898560318</v>
      </c>
      <c r="M177" s="327"/>
      <c r="N177" s="327"/>
      <c r="T177" s="33"/>
      <c r="U177" s="189"/>
      <c r="V177" s="189"/>
      <c r="W177" s="189"/>
      <c r="X177" s="189"/>
      <c r="AE177" s="17"/>
      <c r="AL177" s="548"/>
    </row>
    <row r="178" spans="1:38" s="30" customFormat="1" x14ac:dyDescent="0.25">
      <c r="A178" s="21" t="s">
        <v>790</v>
      </c>
      <c r="B178" s="46">
        <v>1.05466E-3</v>
      </c>
      <c r="C178" s="545">
        <f t="shared" si="14"/>
        <v>1.0401458210882791E-5</v>
      </c>
      <c r="D178" s="46">
        <v>0</v>
      </c>
      <c r="E178" s="545">
        <f t="shared" si="15"/>
        <v>0</v>
      </c>
      <c r="F178" s="46">
        <v>1.7644799999999999E-2</v>
      </c>
      <c r="G178" s="46"/>
      <c r="H178" s="494">
        <f t="shared" si="16"/>
        <v>1.7644799999999999E-2</v>
      </c>
      <c r="I178" s="545">
        <f t="shared" si="17"/>
        <v>1.5427078495369004E-4</v>
      </c>
      <c r="J178" s="545">
        <f t="shared" si="18"/>
        <v>0</v>
      </c>
      <c r="K178" s="494" t="s">
        <v>240</v>
      </c>
      <c r="L178" s="546">
        <f t="shared" si="20"/>
        <v>1573.0320672064931</v>
      </c>
      <c r="M178" s="327"/>
      <c r="N178" s="327"/>
      <c r="T178" s="33"/>
      <c r="U178" s="189"/>
      <c r="V178" s="189"/>
      <c r="W178" s="189"/>
      <c r="X178" s="189"/>
      <c r="AE178" s="17"/>
      <c r="AL178" s="548"/>
    </row>
    <row r="179" spans="1:38" s="30" customFormat="1" x14ac:dyDescent="0.25">
      <c r="A179" s="21" t="s">
        <v>926</v>
      </c>
      <c r="B179" s="46">
        <v>5.3834750000000001E-2</v>
      </c>
      <c r="C179" s="545">
        <f t="shared" si="14"/>
        <v>5.3093878825244379E-4</v>
      </c>
      <c r="D179" s="46">
        <v>5.4975869999999989E-2</v>
      </c>
      <c r="E179" s="545">
        <f t="shared" si="15"/>
        <v>5.1305624380789143E-4</v>
      </c>
      <c r="F179" s="46">
        <v>9.2505400000000015E-3</v>
      </c>
      <c r="G179" s="46">
        <v>6.9268400000000001E-3</v>
      </c>
      <c r="H179" s="494">
        <f t="shared" si="16"/>
        <v>1.6177380000000002E-2</v>
      </c>
      <c r="I179" s="545">
        <f t="shared" si="17"/>
        <v>8.0878676269807996E-5</v>
      </c>
      <c r="J179" s="545">
        <f t="shared" si="18"/>
        <v>6.056226446594002E-5</v>
      </c>
      <c r="K179" s="494">
        <f t="shared" si="19"/>
        <v>-70.57367168541397</v>
      </c>
      <c r="L179" s="546">
        <f t="shared" si="20"/>
        <v>-69.949930110198338</v>
      </c>
      <c r="M179" s="327"/>
      <c r="N179" s="327"/>
      <c r="T179" s="33"/>
      <c r="U179" s="189"/>
      <c r="V179" s="189"/>
      <c r="W179" s="189"/>
      <c r="X179" s="189"/>
      <c r="AE179" s="17"/>
      <c r="AL179" s="548"/>
    </row>
    <row r="180" spans="1:38" s="30" customFormat="1" x14ac:dyDescent="0.25">
      <c r="A180" s="21" t="s">
        <v>849</v>
      </c>
      <c r="B180" s="46">
        <v>1.700784E-2</v>
      </c>
      <c r="C180" s="545">
        <f t="shared" si="14"/>
        <v>1.6773778944624882E-4</v>
      </c>
      <c r="D180" s="46">
        <v>1.7591799999999998E-2</v>
      </c>
      <c r="E180" s="545">
        <f t="shared" si="15"/>
        <v>1.6417353340328518E-4</v>
      </c>
      <c r="F180" s="46">
        <v>1.4997999999999999E-2</v>
      </c>
      <c r="G180" s="46"/>
      <c r="H180" s="494">
        <f t="shared" si="16"/>
        <v>1.4997999999999999E-2</v>
      </c>
      <c r="I180" s="545">
        <f t="shared" si="17"/>
        <v>1.3112946776021509E-4</v>
      </c>
      <c r="J180" s="545">
        <f t="shared" si="18"/>
        <v>0</v>
      </c>
      <c r="K180" s="494">
        <f t="shared" si="19"/>
        <v>-14.744369535806445</v>
      </c>
      <c r="L180" s="546">
        <f t="shared" si="20"/>
        <v>-11.817138449091713</v>
      </c>
      <c r="M180" s="327"/>
      <c r="N180" s="327"/>
      <c r="T180" s="33"/>
      <c r="U180" s="189"/>
      <c r="V180" s="189"/>
      <c r="W180" s="189"/>
      <c r="X180" s="189"/>
      <c r="AE180" s="17"/>
      <c r="AL180" s="548"/>
    </row>
    <row r="181" spans="1:38" s="30" customFormat="1" x14ac:dyDescent="0.25">
      <c r="A181" s="21" t="s">
        <v>868</v>
      </c>
      <c r="B181" s="46">
        <v>2.50542E-3</v>
      </c>
      <c r="C181" s="545">
        <f t="shared" si="14"/>
        <v>2.470940533509374E-5</v>
      </c>
      <c r="D181" s="46">
        <v>2.0000000000000001E-4</v>
      </c>
      <c r="E181" s="545">
        <f t="shared" si="15"/>
        <v>1.8664779431699455E-6</v>
      </c>
      <c r="F181" s="46">
        <v>1.2177E-2</v>
      </c>
      <c r="G181" s="46"/>
      <c r="H181" s="494">
        <f t="shared" si="16"/>
        <v>1.2177E-2</v>
      </c>
      <c r="I181" s="545">
        <f t="shared" si="17"/>
        <v>1.0646509727404584E-4</v>
      </c>
      <c r="J181" s="545">
        <f t="shared" si="18"/>
        <v>0</v>
      </c>
      <c r="K181" s="494">
        <f t="shared" si="19"/>
        <v>5988.5</v>
      </c>
      <c r="L181" s="546">
        <f t="shared" si="20"/>
        <v>386.02629499245637</v>
      </c>
      <c r="M181" s="327"/>
      <c r="N181" s="327"/>
      <c r="T181" s="33"/>
      <c r="U181" s="189"/>
      <c r="V181" s="189"/>
      <c r="W181" s="189"/>
      <c r="X181" s="189"/>
      <c r="AE181" s="17"/>
      <c r="AL181" s="548"/>
    </row>
    <row r="182" spans="1:38" s="30" customFormat="1" x14ac:dyDescent="0.25">
      <c r="A182" s="21" t="s">
        <v>924</v>
      </c>
      <c r="B182" s="46">
        <v>1.1946229999999999E-2</v>
      </c>
      <c r="C182" s="545">
        <f t="shared" si="14"/>
        <v>1.178182657184252E-4</v>
      </c>
      <c r="D182" s="46">
        <v>5.7508879999999991E-2</v>
      </c>
      <c r="E182" s="545">
        <f t="shared" si="15"/>
        <v>5.3669528028203587E-4</v>
      </c>
      <c r="F182" s="46">
        <v>7.7419999999999998E-3</v>
      </c>
      <c r="G182" s="46"/>
      <c r="H182" s="494">
        <f t="shared" si="16"/>
        <v>7.7419999999999998E-3</v>
      </c>
      <c r="I182" s="545">
        <f t="shared" si="17"/>
        <v>6.7689314535243725E-5</v>
      </c>
      <c r="J182" s="545">
        <f t="shared" si="18"/>
        <v>0</v>
      </c>
      <c r="K182" s="494">
        <f t="shared" si="19"/>
        <v>-86.537731216466042</v>
      </c>
      <c r="L182" s="546">
        <f t="shared" si="20"/>
        <v>-35.192943715297616</v>
      </c>
      <c r="M182" s="327"/>
      <c r="N182" s="327"/>
      <c r="T182" s="33"/>
      <c r="U182" s="189"/>
      <c r="V182" s="189"/>
      <c r="W182" s="189"/>
      <c r="X182" s="189"/>
      <c r="AE182" s="17"/>
      <c r="AL182" s="548"/>
    </row>
    <row r="183" spans="1:38" s="30" customFormat="1" x14ac:dyDescent="0.25">
      <c r="A183" s="21" t="s">
        <v>814</v>
      </c>
      <c r="B183" s="46">
        <v>8.2995000000000009E-4</v>
      </c>
      <c r="C183" s="545">
        <f t="shared" si="14"/>
        <v>8.1852826902719127E-6</v>
      </c>
      <c r="D183" s="46">
        <v>6.9844999999999998E-4</v>
      </c>
      <c r="E183" s="545">
        <f t="shared" si="15"/>
        <v>6.5182075970352408E-6</v>
      </c>
      <c r="F183" s="46">
        <v>6.8252499999999997E-3</v>
      </c>
      <c r="G183" s="46"/>
      <c r="H183" s="494">
        <f t="shared" si="16"/>
        <v>6.8252499999999997E-3</v>
      </c>
      <c r="I183" s="545">
        <f t="shared" si="17"/>
        <v>5.96740498620088E-5</v>
      </c>
      <c r="J183" s="545">
        <f t="shared" si="18"/>
        <v>0</v>
      </c>
      <c r="K183" s="494">
        <f t="shared" si="19"/>
        <v>877.19951320781729</v>
      </c>
      <c r="L183" s="546">
        <f t="shared" si="20"/>
        <v>722.36881739863838</v>
      </c>
      <c r="M183" s="327"/>
      <c r="N183" s="327"/>
      <c r="T183" s="33"/>
      <c r="U183" s="189"/>
      <c r="V183" s="189"/>
      <c r="W183" s="189"/>
      <c r="X183" s="189"/>
      <c r="AE183" s="17"/>
      <c r="AL183" s="548"/>
    </row>
    <row r="184" spans="1:38" s="30" customFormat="1" x14ac:dyDescent="0.25">
      <c r="A184" s="21" t="s">
        <v>784</v>
      </c>
      <c r="B184" s="46">
        <v>3.7602300000000003E-3</v>
      </c>
      <c r="C184" s="545">
        <f t="shared" si="14"/>
        <v>3.7084819001676183E-5</v>
      </c>
      <c r="D184" s="46">
        <v>6.3706800000000001E-3</v>
      </c>
      <c r="E184" s="545">
        <f t="shared" si="15"/>
        <v>5.9453668514969539E-5</v>
      </c>
      <c r="F184" s="46">
        <v>4.9316900000000007E-3</v>
      </c>
      <c r="G184" s="46"/>
      <c r="H184" s="494">
        <f t="shared" si="16"/>
        <v>4.9316900000000007E-3</v>
      </c>
      <c r="I184" s="545">
        <f t="shared" si="17"/>
        <v>4.3118408111639904E-5</v>
      </c>
      <c r="J184" s="545">
        <f t="shared" si="18"/>
        <v>0</v>
      </c>
      <c r="K184" s="494">
        <f t="shared" si="19"/>
        <v>-22.587698644414711</v>
      </c>
      <c r="L184" s="546">
        <f t="shared" si="20"/>
        <v>31.153945370363001</v>
      </c>
      <c r="M184" s="327"/>
      <c r="N184" s="327"/>
      <c r="T184" s="33"/>
      <c r="U184" s="189"/>
      <c r="V184" s="189"/>
      <c r="W184" s="189"/>
      <c r="X184" s="189"/>
      <c r="AE184" s="17"/>
      <c r="AL184" s="548"/>
    </row>
    <row r="185" spans="1:38" s="30" customFormat="1" x14ac:dyDescent="0.25">
      <c r="A185" s="21" t="s">
        <v>894</v>
      </c>
      <c r="B185" s="46">
        <v>6.1232740000000001E-2</v>
      </c>
      <c r="C185" s="545">
        <f t="shared" si="14"/>
        <v>6.039005805168028E-4</v>
      </c>
      <c r="D185" s="46">
        <v>1.028956E-2</v>
      </c>
      <c r="E185" s="545">
        <f t="shared" si="15"/>
        <v>9.6026183924618704E-5</v>
      </c>
      <c r="F185" s="46">
        <v>4.8501500000000001E-3</v>
      </c>
      <c r="G185" s="46"/>
      <c r="H185" s="494">
        <f t="shared" si="16"/>
        <v>4.8501500000000001E-3</v>
      </c>
      <c r="I185" s="545">
        <f t="shared" si="17"/>
        <v>4.2405493269583096E-5</v>
      </c>
      <c r="J185" s="545">
        <f t="shared" si="18"/>
        <v>0</v>
      </c>
      <c r="K185" s="494">
        <f t="shared" si="19"/>
        <v>-52.86338774447109</v>
      </c>
      <c r="L185" s="546">
        <f t="shared" si="20"/>
        <v>-92.079155693506436</v>
      </c>
      <c r="M185" s="327"/>
      <c r="N185" s="327"/>
      <c r="T185" s="33"/>
      <c r="U185" s="189"/>
      <c r="V185" s="189"/>
      <c r="W185" s="189"/>
      <c r="X185" s="189"/>
      <c r="AE185" s="17"/>
      <c r="AL185" s="548"/>
    </row>
    <row r="186" spans="1:38" s="30" customFormat="1" x14ac:dyDescent="0.25">
      <c r="A186" s="21" t="s">
        <v>895</v>
      </c>
      <c r="B186" s="46">
        <v>6.4689300000000005E-2</v>
      </c>
      <c r="C186" s="545">
        <f t="shared" si="14"/>
        <v>6.3799049043413065E-4</v>
      </c>
      <c r="D186" s="46">
        <v>0</v>
      </c>
      <c r="E186" s="545">
        <f t="shared" si="15"/>
        <v>0</v>
      </c>
      <c r="F186" s="46">
        <v>4.6850099999999999E-3</v>
      </c>
      <c r="G186" s="46"/>
      <c r="H186" s="494">
        <f t="shared" si="16"/>
        <v>4.6850099999999999E-3</v>
      </c>
      <c r="I186" s="545">
        <f t="shared" si="17"/>
        <v>4.0961652737117303E-5</v>
      </c>
      <c r="J186" s="545">
        <f t="shared" si="18"/>
        <v>0</v>
      </c>
      <c r="K186" s="494" t="s">
        <v>240</v>
      </c>
      <c r="L186" s="546">
        <f t="shared" si="20"/>
        <v>-92.75767398936145</v>
      </c>
      <c r="M186" s="327"/>
      <c r="N186" s="327"/>
      <c r="T186" s="33"/>
      <c r="U186" s="189"/>
      <c r="V186" s="189"/>
      <c r="W186" s="189"/>
      <c r="X186" s="189"/>
      <c r="AE186" s="17"/>
      <c r="AL186" s="548"/>
    </row>
    <row r="187" spans="1:38" s="30" customFormat="1" x14ac:dyDescent="0.25">
      <c r="A187" s="21" t="s">
        <v>822</v>
      </c>
      <c r="B187" s="46">
        <v>5.3049999999999998E-3</v>
      </c>
      <c r="C187" s="545">
        <f t="shared" si="14"/>
        <v>5.2319928516046126E-5</v>
      </c>
      <c r="D187" s="46">
        <v>5.5432199999999997E-3</v>
      </c>
      <c r="E187" s="545">
        <f t="shared" si="15"/>
        <v>5.1731489320692523E-5</v>
      </c>
      <c r="F187" s="46">
        <v>4.1999999999999997E-3</v>
      </c>
      <c r="G187" s="46"/>
      <c r="H187" s="494">
        <f t="shared" si="16"/>
        <v>4.1999999999999997E-3</v>
      </c>
      <c r="I187" s="545">
        <f t="shared" si="17"/>
        <v>3.6721147125810331E-5</v>
      </c>
      <c r="J187" s="545">
        <f t="shared" si="18"/>
        <v>0</v>
      </c>
      <c r="K187" s="494">
        <f t="shared" si="19"/>
        <v>-24.231764209250215</v>
      </c>
      <c r="L187" s="546">
        <f t="shared" si="20"/>
        <v>-20.829406220546652</v>
      </c>
      <c r="M187" s="327"/>
      <c r="N187" s="327"/>
      <c r="T187" s="33"/>
      <c r="U187" s="189"/>
      <c r="V187" s="189"/>
      <c r="W187" s="189"/>
      <c r="X187" s="189"/>
      <c r="AE187" s="17"/>
      <c r="AL187" s="548"/>
    </row>
    <row r="188" spans="1:38" s="30" customFormat="1" x14ac:dyDescent="0.25">
      <c r="A188" s="21" t="s">
        <v>780</v>
      </c>
      <c r="B188" s="46">
        <v>3.3332169999999994E-2</v>
      </c>
      <c r="C188" s="545">
        <f t="shared" si="14"/>
        <v>3.2873454320163939E-4</v>
      </c>
      <c r="D188" s="46">
        <v>7.5000000000000002E-4</v>
      </c>
      <c r="E188" s="545">
        <f t="shared" si="15"/>
        <v>6.9992922868872944E-6</v>
      </c>
      <c r="F188" s="46">
        <v>3.8913000000000003E-3</v>
      </c>
      <c r="G188" s="46"/>
      <c r="H188" s="494">
        <f t="shared" si="16"/>
        <v>3.8913000000000003E-3</v>
      </c>
      <c r="I188" s="545">
        <f t="shared" si="17"/>
        <v>3.4022142812063282E-5</v>
      </c>
      <c r="J188" s="545">
        <f t="shared" si="18"/>
        <v>0</v>
      </c>
      <c r="K188" s="494">
        <f t="shared" si="19"/>
        <v>418.84000000000003</v>
      </c>
      <c r="L188" s="546">
        <f t="shared" si="20"/>
        <v>-88.325692566670583</v>
      </c>
      <c r="M188" s="327"/>
      <c r="N188" s="327"/>
      <c r="T188" s="33"/>
      <c r="U188" s="189"/>
      <c r="V188" s="189"/>
      <c r="W188" s="189"/>
      <c r="X188" s="189"/>
      <c r="AE188" s="17"/>
      <c r="AL188" s="548"/>
    </row>
    <row r="189" spans="1:38" s="30" customFormat="1" x14ac:dyDescent="0.25">
      <c r="A189" s="21" t="s">
        <v>876</v>
      </c>
      <c r="B189" s="46">
        <v>0</v>
      </c>
      <c r="C189" s="545">
        <f t="shared" si="14"/>
        <v>0</v>
      </c>
      <c r="D189" s="46">
        <v>0</v>
      </c>
      <c r="E189" s="545">
        <f t="shared" si="15"/>
        <v>0</v>
      </c>
      <c r="F189" s="46">
        <v>3.2363000000000001E-3</v>
      </c>
      <c r="G189" s="46"/>
      <c r="H189" s="494">
        <f t="shared" si="16"/>
        <v>3.2363000000000001E-3</v>
      </c>
      <c r="I189" s="545">
        <f t="shared" si="17"/>
        <v>2.8295392486490478E-5</v>
      </c>
      <c r="J189" s="545">
        <f t="shared" si="18"/>
        <v>0</v>
      </c>
      <c r="K189" s="494" t="s">
        <v>240</v>
      </c>
      <c r="L189" s="546" t="s">
        <v>240</v>
      </c>
      <c r="M189" s="327"/>
      <c r="N189" s="327"/>
      <c r="T189" s="33"/>
      <c r="U189" s="189"/>
      <c r="V189" s="189"/>
      <c r="W189" s="189"/>
      <c r="X189" s="189"/>
      <c r="AE189" s="17"/>
      <c r="AL189" s="548"/>
    </row>
    <row r="190" spans="1:38" s="30" customFormat="1" x14ac:dyDescent="0.25">
      <c r="A190" s="21" t="s">
        <v>823</v>
      </c>
      <c r="B190" s="46">
        <v>8.2180399999999994E-3</v>
      </c>
      <c r="C190" s="545">
        <f t="shared" si="14"/>
        <v>8.1049437387748852E-5</v>
      </c>
      <c r="D190" s="46">
        <v>4.7417700000000002E-3</v>
      </c>
      <c r="E190" s="545">
        <f t="shared" si="15"/>
        <v>4.425204558292476E-5</v>
      </c>
      <c r="F190" s="46">
        <v>3.1711200000000004E-3</v>
      </c>
      <c r="G190" s="46"/>
      <c r="H190" s="494">
        <f t="shared" si="16"/>
        <v>3.1711200000000004E-3</v>
      </c>
      <c r="I190" s="545">
        <f t="shared" si="17"/>
        <v>2.7725515255618977E-5</v>
      </c>
      <c r="J190" s="545">
        <f t="shared" si="18"/>
        <v>0</v>
      </c>
      <c r="K190" s="494">
        <f t="shared" si="19"/>
        <v>-33.12370697018202</v>
      </c>
      <c r="L190" s="546">
        <f t="shared" si="20"/>
        <v>-61.412696944770275</v>
      </c>
      <c r="M190" s="327"/>
      <c r="N190" s="327"/>
      <c r="T190" s="33"/>
      <c r="U190" s="189"/>
      <c r="V190" s="189"/>
      <c r="W190" s="189"/>
      <c r="X190" s="189"/>
      <c r="AE190" s="17"/>
      <c r="AL190" s="548"/>
    </row>
    <row r="191" spans="1:38" s="30" customFormat="1" x14ac:dyDescent="0.25">
      <c r="A191" s="21" t="s">
        <v>778</v>
      </c>
      <c r="B191" s="46">
        <v>0</v>
      </c>
      <c r="C191" s="545">
        <f t="shared" si="14"/>
        <v>0</v>
      </c>
      <c r="D191" s="46">
        <v>5.1840000000000002E-3</v>
      </c>
      <c r="E191" s="545">
        <f t="shared" si="15"/>
        <v>4.8379108286964985E-5</v>
      </c>
      <c r="F191" s="46">
        <v>2.9495999999999997E-3</v>
      </c>
      <c r="G191" s="46"/>
      <c r="H191" s="494">
        <f t="shared" si="16"/>
        <v>2.9495999999999997E-3</v>
      </c>
      <c r="I191" s="545">
        <f t="shared" si="17"/>
        <v>2.5788737038640512E-5</v>
      </c>
      <c r="J191" s="545">
        <f t="shared" si="18"/>
        <v>0</v>
      </c>
      <c r="K191" s="494">
        <f t="shared" si="19"/>
        <v>-43.101851851851855</v>
      </c>
      <c r="L191" s="546" t="s">
        <v>240</v>
      </c>
      <c r="M191" s="327"/>
      <c r="N191" s="327"/>
      <c r="T191" s="33"/>
      <c r="U191" s="189"/>
      <c r="V191" s="189"/>
      <c r="W191" s="189"/>
      <c r="X191" s="189"/>
      <c r="AE191" s="17"/>
      <c r="AL191" s="548"/>
    </row>
    <row r="192" spans="1:38" s="30" customFormat="1" x14ac:dyDescent="0.25">
      <c r="A192" s="21" t="s">
        <v>821</v>
      </c>
      <c r="B192" s="46">
        <v>0.1333</v>
      </c>
      <c r="C192" s="545">
        <f t="shared" si="14"/>
        <v>1.3146553197340149E-3</v>
      </c>
      <c r="D192" s="46">
        <v>4.7121200000000002E-3</v>
      </c>
      <c r="E192" s="545">
        <f t="shared" si="15"/>
        <v>4.3975340227849811E-5</v>
      </c>
      <c r="F192" s="46">
        <v>2.9420000000000002E-3</v>
      </c>
      <c r="G192" s="46"/>
      <c r="H192" s="494">
        <f t="shared" si="16"/>
        <v>2.9420000000000002E-3</v>
      </c>
      <c r="I192" s="545">
        <f t="shared" si="17"/>
        <v>2.5722289248603336E-5</v>
      </c>
      <c r="J192" s="545">
        <f t="shared" si="18"/>
        <v>0</v>
      </c>
      <c r="K192" s="494">
        <f t="shared" si="19"/>
        <v>-37.565257251513117</v>
      </c>
      <c r="L192" s="546">
        <f t="shared" si="20"/>
        <v>-97.792948237059264</v>
      </c>
      <c r="M192" s="327"/>
      <c r="N192" s="327"/>
      <c r="T192" s="33"/>
      <c r="U192" s="189"/>
      <c r="V192" s="189"/>
      <c r="W192" s="189"/>
      <c r="X192" s="189"/>
      <c r="AE192" s="17"/>
      <c r="AL192" s="548"/>
    </row>
    <row r="193" spans="1:38" s="30" customFormat="1" x14ac:dyDescent="0.25">
      <c r="A193" s="21" t="s">
        <v>817</v>
      </c>
      <c r="B193" s="46">
        <v>3.1605100000000001E-3</v>
      </c>
      <c r="C193" s="545">
        <f t="shared" si="14"/>
        <v>3.1170152172337219E-5</v>
      </c>
      <c r="D193" s="46">
        <v>5.0000000000000001E-3</v>
      </c>
      <c r="E193" s="545">
        <f t="shared" si="15"/>
        <v>4.666194857924863E-5</v>
      </c>
      <c r="F193" s="46">
        <v>1.7902700000000001E-3</v>
      </c>
      <c r="G193" s="46"/>
      <c r="H193" s="494">
        <f t="shared" si="16"/>
        <v>1.7902700000000001E-3</v>
      </c>
      <c r="I193" s="545">
        <f t="shared" si="17"/>
        <v>1.5652563824982019E-5</v>
      </c>
      <c r="J193" s="545">
        <f t="shared" si="18"/>
        <v>0</v>
      </c>
      <c r="K193" s="494">
        <f t="shared" si="19"/>
        <v>-64.194600000000008</v>
      </c>
      <c r="L193" s="546">
        <f t="shared" si="20"/>
        <v>-43.35502814419192</v>
      </c>
      <c r="M193" s="327"/>
      <c r="N193" s="327"/>
      <c r="T193" s="33"/>
      <c r="U193" s="189"/>
      <c r="V193" s="189"/>
      <c r="W193" s="189"/>
      <c r="X193" s="189"/>
      <c r="AE193" s="17"/>
      <c r="AL193" s="548"/>
    </row>
    <row r="194" spans="1:38" s="30" customFormat="1" x14ac:dyDescent="0.25">
      <c r="A194" s="21" t="s">
        <v>824</v>
      </c>
      <c r="B194" s="46">
        <v>9.6988000000000005E-3</v>
      </c>
      <c r="C194" s="545">
        <f t="shared" si="14"/>
        <v>9.565325592675368E-5</v>
      </c>
      <c r="D194" s="46">
        <v>4.0499999999999998E-4</v>
      </c>
      <c r="E194" s="545">
        <f t="shared" si="15"/>
        <v>3.7796178349191391E-6</v>
      </c>
      <c r="F194" s="46">
        <v>1.7881300000000002E-3</v>
      </c>
      <c r="G194" s="46"/>
      <c r="H194" s="494">
        <f t="shared" si="16"/>
        <v>1.7881300000000002E-3</v>
      </c>
      <c r="I194" s="545">
        <f t="shared" si="17"/>
        <v>1.5633853526208391E-5</v>
      </c>
      <c r="J194" s="545">
        <f t="shared" si="18"/>
        <v>0</v>
      </c>
      <c r="K194" s="494">
        <f t="shared" si="19"/>
        <v>341.51358024691365</v>
      </c>
      <c r="L194" s="546">
        <f t="shared" si="20"/>
        <v>-81.563389285272407</v>
      </c>
      <c r="M194" s="327"/>
      <c r="N194" s="327"/>
      <c r="T194" s="33"/>
      <c r="U194" s="189"/>
      <c r="V194" s="189"/>
      <c r="W194" s="189"/>
      <c r="X194" s="189"/>
      <c r="AE194" s="17"/>
      <c r="AL194" s="548"/>
    </row>
    <row r="195" spans="1:38" s="30" customFormat="1" x14ac:dyDescent="0.25">
      <c r="A195" s="21" t="s">
        <v>937</v>
      </c>
      <c r="B195" s="46">
        <v>0.80563961999999989</v>
      </c>
      <c r="C195" s="545">
        <f t="shared" si="14"/>
        <v>7.9455244727793719E-3</v>
      </c>
      <c r="D195" s="46">
        <v>0.44973637</v>
      </c>
      <c r="E195" s="545">
        <f t="shared" si="15"/>
        <v>4.1971150742315874E-3</v>
      </c>
      <c r="F195" s="46">
        <v>1.6003499999999999E-3</v>
      </c>
      <c r="G195" s="46"/>
      <c r="H195" s="494">
        <f t="shared" si="16"/>
        <v>1.6003499999999999E-3</v>
      </c>
      <c r="I195" s="545">
        <f t="shared" si="17"/>
        <v>1.3992068524473945E-5</v>
      </c>
      <c r="J195" s="545">
        <f t="shared" si="18"/>
        <v>0</v>
      </c>
      <c r="K195" s="494">
        <f t="shared" si="19"/>
        <v>-99.644158198724284</v>
      </c>
      <c r="L195" s="546">
        <f t="shared" si="20"/>
        <v>-99.801356591673084</v>
      </c>
      <c r="M195" s="327"/>
      <c r="N195" s="327"/>
      <c r="T195" s="33"/>
      <c r="U195" s="189"/>
      <c r="V195" s="189"/>
      <c r="W195" s="189"/>
      <c r="X195" s="189"/>
      <c r="AE195" s="17"/>
      <c r="AL195" s="548"/>
    </row>
    <row r="196" spans="1:38" s="30" customFormat="1" x14ac:dyDescent="0.25">
      <c r="A196" s="21" t="s">
        <v>837</v>
      </c>
      <c r="B196" s="46">
        <v>1.275098E-2</v>
      </c>
      <c r="C196" s="545">
        <f t="shared" ref="C196:C233" si="21">(B196/$B$234)*100</f>
        <v>1.257550164202703E-4</v>
      </c>
      <c r="D196" s="46">
        <v>3.31052E-3</v>
      </c>
      <c r="E196" s="545">
        <f t="shared" ref="E196:E233" si="22">(D196/$D$234)*100</f>
        <v>3.0895062802114835E-5</v>
      </c>
      <c r="F196" s="46">
        <v>1.5181999999999999E-3</v>
      </c>
      <c r="G196" s="46"/>
      <c r="H196" s="494">
        <f t="shared" ref="H196:H233" si="23">F196+G196</f>
        <v>1.5181999999999999E-3</v>
      </c>
      <c r="I196" s="545">
        <f t="shared" ref="I196:I233" si="24">(F196/$H$234)*100</f>
        <v>1.3273820372953633E-5</v>
      </c>
      <c r="J196" s="545">
        <f t="shared" ref="J196:J233" si="25">(G196/$H$234)*100</f>
        <v>0</v>
      </c>
      <c r="K196" s="494">
        <f t="shared" si="19"/>
        <v>-54.140135084518448</v>
      </c>
      <c r="L196" s="546">
        <f t="shared" si="20"/>
        <v>-88.093464188634911</v>
      </c>
      <c r="M196" s="327"/>
      <c r="N196" s="327"/>
      <c r="T196" s="33"/>
      <c r="U196" s="189"/>
      <c r="V196" s="189"/>
      <c r="W196" s="189"/>
      <c r="X196" s="189"/>
      <c r="AE196" s="17"/>
      <c r="AL196" s="548"/>
    </row>
    <row r="197" spans="1:38" s="30" customFormat="1" x14ac:dyDescent="0.25">
      <c r="A197" s="21" t="s">
        <v>833</v>
      </c>
      <c r="B197" s="46">
        <v>0</v>
      </c>
      <c r="C197" s="545">
        <f t="shared" si="21"/>
        <v>0</v>
      </c>
      <c r="D197" s="46">
        <v>1.6110280000000001E-2</v>
      </c>
      <c r="E197" s="545">
        <f t="shared" si="22"/>
        <v>1.5034741139145953E-4</v>
      </c>
      <c r="F197" s="46">
        <v>1.2800000000000001E-3</v>
      </c>
      <c r="G197" s="46"/>
      <c r="H197" s="494">
        <f t="shared" si="23"/>
        <v>1.2800000000000001E-3</v>
      </c>
      <c r="I197" s="545">
        <f t="shared" si="24"/>
        <v>1.1191206743104104E-5</v>
      </c>
      <c r="J197" s="545">
        <f t="shared" si="25"/>
        <v>0</v>
      </c>
      <c r="K197" s="494">
        <f t="shared" ref="K197:K232" si="26">((H197/D197)-1)*100</f>
        <v>-92.054762549130118</v>
      </c>
      <c r="L197" s="546" t="s">
        <v>240</v>
      </c>
      <c r="M197" s="327"/>
      <c r="N197" s="327"/>
      <c r="T197" s="33"/>
      <c r="U197" s="189"/>
      <c r="V197" s="189"/>
      <c r="W197" s="189"/>
      <c r="X197" s="189"/>
      <c r="AE197" s="17"/>
      <c r="AL197" s="548"/>
    </row>
    <row r="198" spans="1:38" s="30" customFormat="1" x14ac:dyDescent="0.25">
      <c r="A198" s="21" t="s">
        <v>891</v>
      </c>
      <c r="B198" s="46">
        <v>4.0036500000000001E-3</v>
      </c>
      <c r="C198" s="545">
        <f t="shared" si="21"/>
        <v>3.9485519661313491E-5</v>
      </c>
      <c r="D198" s="46">
        <v>0.16496898000000002</v>
      </c>
      <c r="E198" s="545">
        <f t="shared" si="22"/>
        <v>1.5395548123862193E-3</v>
      </c>
      <c r="F198" s="46">
        <v>8.3000000000000001E-4</v>
      </c>
      <c r="G198" s="46"/>
      <c r="H198" s="494">
        <f t="shared" si="23"/>
        <v>8.3000000000000001E-4</v>
      </c>
      <c r="I198" s="545">
        <f t="shared" si="24"/>
        <v>7.2567981224815665E-6</v>
      </c>
      <c r="J198" s="545">
        <f t="shared" si="25"/>
        <v>0</v>
      </c>
      <c r="K198" s="494">
        <f t="shared" si="26"/>
        <v>-99.496875109490276</v>
      </c>
      <c r="L198" s="546">
        <f t="shared" ref="L198:L233" si="27">((H198/B198)-1)*100</f>
        <v>-79.268917113134265</v>
      </c>
      <c r="M198" s="327"/>
      <c r="N198" s="327"/>
      <c r="T198" s="33"/>
      <c r="U198" s="189"/>
      <c r="V198" s="189"/>
      <c r="W198" s="189"/>
      <c r="X198" s="189"/>
      <c r="AE198" s="17"/>
      <c r="AL198" s="548"/>
    </row>
    <row r="199" spans="1:38" s="30" customFormat="1" x14ac:dyDescent="0.25">
      <c r="A199" s="21" t="s">
        <v>863</v>
      </c>
      <c r="B199" s="46">
        <v>2.4150899999999999E-3</v>
      </c>
      <c r="C199" s="545">
        <f t="shared" si="21"/>
        <v>2.3818536505149454E-5</v>
      </c>
      <c r="D199" s="46">
        <v>1.2E-2</v>
      </c>
      <c r="E199" s="545">
        <f t="shared" si="22"/>
        <v>1.1198867659019671E-4</v>
      </c>
      <c r="F199" s="46">
        <v>7.5000000000000002E-4</v>
      </c>
      <c r="G199" s="46"/>
      <c r="H199" s="494">
        <f t="shared" si="23"/>
        <v>7.5000000000000002E-4</v>
      </c>
      <c r="I199" s="545">
        <f t="shared" si="24"/>
        <v>6.5573477010375608E-6</v>
      </c>
      <c r="J199" s="545">
        <f t="shared" si="25"/>
        <v>0</v>
      </c>
      <c r="K199" s="494">
        <f t="shared" si="26"/>
        <v>-93.75</v>
      </c>
      <c r="L199" s="546">
        <f t="shared" si="27"/>
        <v>-68.945256698508132</v>
      </c>
      <c r="M199" s="327"/>
      <c r="N199" s="327"/>
      <c r="T199" s="33"/>
      <c r="U199" s="189"/>
      <c r="V199" s="189"/>
      <c r="W199" s="189"/>
      <c r="X199" s="189"/>
      <c r="AE199" s="17"/>
      <c r="AL199" s="548"/>
    </row>
    <row r="200" spans="1:38" s="30" customFormat="1" x14ac:dyDescent="0.25">
      <c r="A200" s="21" t="s">
        <v>812</v>
      </c>
      <c r="B200" s="46">
        <v>2.3721199999999997E-3</v>
      </c>
      <c r="C200" s="545">
        <f t="shared" si="21"/>
        <v>2.3394750015359724E-5</v>
      </c>
      <c r="D200" s="46">
        <v>0.17182499999999998</v>
      </c>
      <c r="E200" s="545">
        <f t="shared" si="22"/>
        <v>1.6035378629258789E-3</v>
      </c>
      <c r="F200" s="46">
        <v>5.0000000000000002E-5</v>
      </c>
      <c r="G200" s="46"/>
      <c r="H200" s="494">
        <f t="shared" si="23"/>
        <v>5.0000000000000002E-5</v>
      </c>
      <c r="I200" s="545">
        <f t="shared" si="24"/>
        <v>4.37156513402504E-7</v>
      </c>
      <c r="J200" s="545">
        <f t="shared" si="25"/>
        <v>0</v>
      </c>
      <c r="K200" s="494">
        <f t="shared" si="26"/>
        <v>-99.970900625636546</v>
      </c>
      <c r="L200" s="546">
        <f t="shared" si="27"/>
        <v>-97.892180834021886</v>
      </c>
      <c r="M200" s="327"/>
      <c r="N200" s="327"/>
      <c r="T200" s="33"/>
      <c r="U200" s="189"/>
      <c r="V200" s="189"/>
      <c r="W200" s="189"/>
      <c r="X200" s="189"/>
      <c r="AE200" s="17"/>
      <c r="AL200" s="548"/>
    </row>
    <row r="201" spans="1:38" s="30" customFormat="1" x14ac:dyDescent="0.25">
      <c r="A201" s="21" t="s">
        <v>799</v>
      </c>
      <c r="B201" s="46">
        <v>8.778656E-2</v>
      </c>
      <c r="C201" s="545">
        <f t="shared" si="21"/>
        <v>8.657844569028454E-4</v>
      </c>
      <c r="D201" s="46">
        <v>0</v>
      </c>
      <c r="E201" s="545">
        <f t="shared" si="22"/>
        <v>0</v>
      </c>
      <c r="F201" s="46">
        <v>3.4999999999999997E-5</v>
      </c>
      <c r="G201" s="46"/>
      <c r="H201" s="494">
        <f t="shared" si="23"/>
        <v>3.4999999999999997E-5</v>
      </c>
      <c r="I201" s="545">
        <f t="shared" si="24"/>
        <v>3.0600955938175279E-7</v>
      </c>
      <c r="J201" s="545">
        <f t="shared" si="25"/>
        <v>0</v>
      </c>
      <c r="K201" s="494" t="s">
        <v>240</v>
      </c>
      <c r="L201" s="546">
        <f t="shared" si="27"/>
        <v>-99.960130571240057</v>
      </c>
      <c r="M201" s="327"/>
      <c r="N201" s="327"/>
      <c r="T201" s="33"/>
      <c r="U201" s="189"/>
      <c r="V201" s="189"/>
      <c r="W201" s="189"/>
      <c r="X201" s="189"/>
      <c r="AE201" s="17"/>
      <c r="AL201" s="548"/>
    </row>
    <row r="202" spans="1:38" s="30" customFormat="1" x14ac:dyDescent="0.25">
      <c r="A202" s="21" t="s">
        <v>834</v>
      </c>
      <c r="B202" s="46">
        <v>0</v>
      </c>
      <c r="C202" s="545">
        <f t="shared" si="21"/>
        <v>0</v>
      </c>
      <c r="D202" s="46">
        <v>0</v>
      </c>
      <c r="E202" s="545">
        <f t="shared" si="22"/>
        <v>0</v>
      </c>
      <c r="F202" s="46">
        <v>2.0000000000000002E-5</v>
      </c>
      <c r="G202" s="46"/>
      <c r="H202" s="494">
        <f t="shared" si="23"/>
        <v>2.0000000000000002E-5</v>
      </c>
      <c r="I202" s="545">
        <f t="shared" si="24"/>
        <v>1.7486260536100162E-7</v>
      </c>
      <c r="J202" s="545">
        <f t="shared" si="25"/>
        <v>0</v>
      </c>
      <c r="K202" s="494" t="s">
        <v>240</v>
      </c>
      <c r="L202" s="546" t="s">
        <v>240</v>
      </c>
      <c r="M202" s="327"/>
      <c r="N202" s="327"/>
      <c r="T202" s="33"/>
      <c r="U202" s="189"/>
      <c r="V202" s="189"/>
      <c r="W202" s="189"/>
      <c r="X202" s="189"/>
      <c r="AE202" s="17"/>
      <c r="AL202" s="548"/>
    </row>
    <row r="203" spans="1:38" s="30" customFormat="1" x14ac:dyDescent="0.25">
      <c r="A203" s="21" t="s">
        <v>820</v>
      </c>
      <c r="B203" s="46">
        <v>0</v>
      </c>
      <c r="C203" s="545">
        <f t="shared" si="21"/>
        <v>0</v>
      </c>
      <c r="D203" s="46">
        <v>0</v>
      </c>
      <c r="E203" s="545">
        <f t="shared" si="22"/>
        <v>0</v>
      </c>
      <c r="F203" s="46">
        <v>1.0000000000000001E-5</v>
      </c>
      <c r="G203" s="46"/>
      <c r="H203" s="494">
        <f t="shared" si="23"/>
        <v>1.0000000000000001E-5</v>
      </c>
      <c r="I203" s="545">
        <f t="shared" si="24"/>
        <v>8.7431302680500811E-8</v>
      </c>
      <c r="J203" s="545">
        <f t="shared" si="25"/>
        <v>0</v>
      </c>
      <c r="K203" s="494" t="s">
        <v>240</v>
      </c>
      <c r="L203" s="546" t="s">
        <v>240</v>
      </c>
      <c r="M203" s="327"/>
      <c r="N203" s="327"/>
      <c r="T203" s="33"/>
      <c r="U203" s="189"/>
      <c r="V203" s="189"/>
      <c r="W203" s="189"/>
      <c r="X203" s="189"/>
      <c r="AE203" s="17"/>
      <c r="AL203" s="548"/>
    </row>
    <row r="204" spans="1:38" s="30" customFormat="1" x14ac:dyDescent="0.25">
      <c r="A204" s="21" t="s">
        <v>884</v>
      </c>
      <c r="B204" s="46">
        <v>0.18070064999999999</v>
      </c>
      <c r="C204" s="545">
        <f t="shared" si="21"/>
        <v>1.782138565655621E-3</v>
      </c>
      <c r="D204" s="46">
        <v>0.32260873000000001</v>
      </c>
      <c r="E204" s="545">
        <f t="shared" si="22"/>
        <v>3.0107103940953412E-3</v>
      </c>
      <c r="F204" s="46"/>
      <c r="G204" s="46"/>
      <c r="H204" s="494">
        <f t="shared" si="23"/>
        <v>0</v>
      </c>
      <c r="I204" s="545">
        <f t="shared" si="24"/>
        <v>0</v>
      </c>
      <c r="J204" s="545">
        <f t="shared" si="25"/>
        <v>0</v>
      </c>
      <c r="K204" s="494">
        <f t="shared" si="26"/>
        <v>-100</v>
      </c>
      <c r="L204" s="546">
        <f t="shared" si="27"/>
        <v>-100</v>
      </c>
      <c r="M204" s="327"/>
      <c r="N204" s="327"/>
      <c r="T204" s="33"/>
      <c r="U204" s="189"/>
      <c r="V204" s="189"/>
      <c r="W204" s="189"/>
      <c r="X204" s="189"/>
      <c r="AE204" s="17"/>
      <c r="AL204" s="548"/>
    </row>
    <row r="205" spans="1:38" s="30" customFormat="1" x14ac:dyDescent="0.25">
      <c r="A205" s="21" t="s">
        <v>848</v>
      </c>
      <c r="B205" s="46">
        <v>0.388409</v>
      </c>
      <c r="C205" s="545">
        <f t="shared" si="21"/>
        <v>3.830637344955506E-3</v>
      </c>
      <c r="D205" s="46">
        <v>0</v>
      </c>
      <c r="E205" s="545">
        <f t="shared" si="22"/>
        <v>0</v>
      </c>
      <c r="F205" s="46"/>
      <c r="G205" s="46"/>
      <c r="H205" s="494">
        <f t="shared" si="23"/>
        <v>0</v>
      </c>
      <c r="I205" s="545">
        <f t="shared" si="24"/>
        <v>0</v>
      </c>
      <c r="J205" s="545">
        <f t="shared" si="25"/>
        <v>0</v>
      </c>
      <c r="K205" s="494" t="s">
        <v>240</v>
      </c>
      <c r="L205" s="546">
        <f t="shared" si="27"/>
        <v>-100</v>
      </c>
      <c r="M205" s="327"/>
      <c r="N205" s="327"/>
      <c r="T205" s="33"/>
      <c r="U205" s="189"/>
      <c r="V205" s="189"/>
      <c r="W205" s="189"/>
      <c r="X205" s="189"/>
      <c r="AE205" s="17"/>
      <c r="AL205" s="548"/>
    </row>
    <row r="206" spans="1:38" s="30" customFormat="1" x14ac:dyDescent="0.25">
      <c r="A206" s="21" t="s">
        <v>818</v>
      </c>
      <c r="B206" s="46">
        <v>0</v>
      </c>
      <c r="C206" s="545">
        <f t="shared" si="21"/>
        <v>0</v>
      </c>
      <c r="D206" s="46">
        <v>3.0000000000000001E-5</v>
      </c>
      <c r="E206" s="545">
        <f t="shared" si="22"/>
        <v>2.7997169147549177E-7</v>
      </c>
      <c r="F206" s="46"/>
      <c r="G206" s="46"/>
      <c r="H206" s="494">
        <f t="shared" si="23"/>
        <v>0</v>
      </c>
      <c r="I206" s="545">
        <f t="shared" si="24"/>
        <v>0</v>
      </c>
      <c r="J206" s="545">
        <f t="shared" si="25"/>
        <v>0</v>
      </c>
      <c r="K206" s="494">
        <f t="shared" si="26"/>
        <v>-100</v>
      </c>
      <c r="L206" s="546" t="s">
        <v>240</v>
      </c>
      <c r="M206" s="327"/>
      <c r="N206" s="327"/>
      <c r="T206" s="33"/>
      <c r="U206" s="189"/>
      <c r="V206" s="189"/>
      <c r="W206" s="189"/>
      <c r="X206" s="189"/>
      <c r="AE206" s="17"/>
      <c r="AL206" s="548"/>
    </row>
    <row r="207" spans="1:38" s="30" customFormat="1" x14ac:dyDescent="0.25">
      <c r="A207" s="21" t="s">
        <v>792</v>
      </c>
      <c r="B207" s="46">
        <v>6.8611000000000002E-3</v>
      </c>
      <c r="C207" s="545">
        <f t="shared" si="21"/>
        <v>6.7666778801403222E-5</v>
      </c>
      <c r="D207" s="46">
        <v>2.2769999999999999E-3</v>
      </c>
      <c r="E207" s="545">
        <f t="shared" si="22"/>
        <v>2.1249851382989824E-5</v>
      </c>
      <c r="F207" s="46"/>
      <c r="G207" s="46"/>
      <c r="H207" s="494">
        <f t="shared" si="23"/>
        <v>0</v>
      </c>
      <c r="I207" s="545">
        <f t="shared" si="24"/>
        <v>0</v>
      </c>
      <c r="J207" s="545">
        <f t="shared" si="25"/>
        <v>0</v>
      </c>
      <c r="K207" s="494">
        <f t="shared" si="26"/>
        <v>-100</v>
      </c>
      <c r="L207" s="546">
        <f t="shared" si="27"/>
        <v>-100</v>
      </c>
      <c r="M207" s="327"/>
      <c r="N207" s="327"/>
      <c r="T207" s="33"/>
      <c r="U207" s="189"/>
      <c r="V207" s="189"/>
      <c r="W207" s="189"/>
      <c r="X207" s="189"/>
      <c r="AE207" s="17"/>
      <c r="AL207" s="548"/>
    </row>
    <row r="208" spans="1:38" s="30" customFormat="1" x14ac:dyDescent="0.25">
      <c r="A208" s="21" t="s">
        <v>869</v>
      </c>
      <c r="B208" s="46">
        <v>0</v>
      </c>
      <c r="C208" s="545">
        <f t="shared" si="21"/>
        <v>0</v>
      </c>
      <c r="D208" s="46">
        <v>0.13919585000000001</v>
      </c>
      <c r="E208" s="545">
        <f t="shared" si="22"/>
        <v>1.2990299190289612E-3</v>
      </c>
      <c r="F208" s="46"/>
      <c r="G208" s="46"/>
      <c r="H208" s="494">
        <f t="shared" si="23"/>
        <v>0</v>
      </c>
      <c r="I208" s="545">
        <f t="shared" si="24"/>
        <v>0</v>
      </c>
      <c r="J208" s="545">
        <f t="shared" si="25"/>
        <v>0</v>
      </c>
      <c r="K208" s="494">
        <f t="shared" si="26"/>
        <v>-100</v>
      </c>
      <c r="L208" s="546" t="s">
        <v>240</v>
      </c>
      <c r="M208" s="327"/>
      <c r="N208" s="327"/>
      <c r="T208" s="33"/>
      <c r="U208" s="189"/>
      <c r="V208" s="189"/>
      <c r="W208" s="189"/>
      <c r="X208" s="189"/>
      <c r="AE208" s="17"/>
      <c r="AL208" s="548"/>
    </row>
    <row r="209" spans="1:38" s="30" customFormat="1" x14ac:dyDescent="0.25">
      <c r="A209" s="21" t="s">
        <v>980</v>
      </c>
      <c r="B209" s="46">
        <v>0</v>
      </c>
      <c r="C209" s="545">
        <f t="shared" si="21"/>
        <v>0</v>
      </c>
      <c r="D209" s="46">
        <v>3.2989999999999998E-3</v>
      </c>
      <c r="E209" s="545">
        <f t="shared" si="22"/>
        <v>3.0787553672588241E-5</v>
      </c>
      <c r="F209" s="46"/>
      <c r="G209" s="46"/>
      <c r="H209" s="494">
        <f t="shared" si="23"/>
        <v>0</v>
      </c>
      <c r="I209" s="545">
        <f t="shared" si="24"/>
        <v>0</v>
      </c>
      <c r="J209" s="545">
        <f t="shared" si="25"/>
        <v>0</v>
      </c>
      <c r="K209" s="494">
        <f t="shared" si="26"/>
        <v>-100</v>
      </c>
      <c r="L209" s="546" t="s">
        <v>240</v>
      </c>
      <c r="M209" s="327"/>
      <c r="N209" s="327"/>
      <c r="T209" s="33"/>
      <c r="U209" s="189"/>
      <c r="V209" s="189"/>
      <c r="W209" s="189"/>
      <c r="X209" s="189"/>
      <c r="AE209" s="17"/>
      <c r="AL209" s="548"/>
    </row>
    <row r="210" spans="1:38" s="30" customFormat="1" x14ac:dyDescent="0.25">
      <c r="A210" s="21" t="s">
        <v>774</v>
      </c>
      <c r="B210" s="46">
        <v>5.8242600000000004E-3</v>
      </c>
      <c r="C210" s="545">
        <f t="shared" si="21"/>
        <v>5.7441068210907979E-5</v>
      </c>
      <c r="D210" s="46">
        <v>0</v>
      </c>
      <c r="E210" s="545">
        <f t="shared" si="22"/>
        <v>0</v>
      </c>
      <c r="F210" s="46"/>
      <c r="G210" s="46"/>
      <c r="H210" s="494">
        <f t="shared" si="23"/>
        <v>0</v>
      </c>
      <c r="I210" s="545">
        <f t="shared" si="24"/>
        <v>0</v>
      </c>
      <c r="J210" s="545">
        <f t="shared" si="25"/>
        <v>0</v>
      </c>
      <c r="K210" s="494" t="s">
        <v>240</v>
      </c>
      <c r="L210" s="546">
        <f t="shared" si="27"/>
        <v>-100</v>
      </c>
      <c r="M210" s="327"/>
      <c r="N210" s="327"/>
      <c r="T210" s="33"/>
      <c r="U210" s="189"/>
      <c r="V210" s="189"/>
      <c r="W210" s="189"/>
      <c r="X210" s="189"/>
      <c r="AE210" s="17"/>
      <c r="AL210" s="548"/>
    </row>
    <row r="211" spans="1:38" s="30" customFormat="1" x14ac:dyDescent="0.25">
      <c r="A211" s="21" t="s">
        <v>787</v>
      </c>
      <c r="B211" s="46">
        <v>1.049429E-2</v>
      </c>
      <c r="C211" s="545">
        <f t="shared" si="21"/>
        <v>1.0349868098523236E-4</v>
      </c>
      <c r="D211" s="46">
        <v>0</v>
      </c>
      <c r="E211" s="545">
        <f t="shared" si="22"/>
        <v>0</v>
      </c>
      <c r="F211" s="46"/>
      <c r="G211" s="46"/>
      <c r="H211" s="494">
        <f t="shared" si="23"/>
        <v>0</v>
      </c>
      <c r="I211" s="545">
        <f t="shared" si="24"/>
        <v>0</v>
      </c>
      <c r="J211" s="545">
        <f t="shared" si="25"/>
        <v>0</v>
      </c>
      <c r="K211" s="494" t="s">
        <v>240</v>
      </c>
      <c r="L211" s="546">
        <f t="shared" si="27"/>
        <v>-100</v>
      </c>
      <c r="M211" s="327"/>
      <c r="N211" s="327"/>
      <c r="T211" s="33"/>
      <c r="U211" s="189"/>
      <c r="V211" s="189"/>
      <c r="W211" s="189"/>
      <c r="X211" s="189"/>
      <c r="AE211" s="17"/>
      <c r="AL211" s="548"/>
    </row>
    <row r="212" spans="1:38" s="30" customFormat="1" x14ac:dyDescent="0.25">
      <c r="A212" s="21" t="s">
        <v>771</v>
      </c>
      <c r="B212" s="46">
        <v>5.0000000000000002E-5</v>
      </c>
      <c r="C212" s="545">
        <f t="shared" si="21"/>
        <v>4.9311902465641969E-7</v>
      </c>
      <c r="D212" s="46">
        <v>4.0537999999999998E-3</v>
      </c>
      <c r="E212" s="545">
        <f t="shared" si="22"/>
        <v>3.7831641430111619E-5</v>
      </c>
      <c r="F212" s="46"/>
      <c r="G212" s="46"/>
      <c r="H212" s="494">
        <f t="shared" si="23"/>
        <v>0</v>
      </c>
      <c r="I212" s="545">
        <f t="shared" si="24"/>
        <v>0</v>
      </c>
      <c r="J212" s="545">
        <f t="shared" si="25"/>
        <v>0</v>
      </c>
      <c r="K212" s="494">
        <f t="shared" si="26"/>
        <v>-100</v>
      </c>
      <c r="L212" s="546">
        <f t="shared" si="27"/>
        <v>-100</v>
      </c>
      <c r="M212" s="327"/>
      <c r="N212" s="327"/>
      <c r="T212" s="33"/>
      <c r="U212" s="189"/>
      <c r="V212" s="189"/>
      <c r="W212" s="189"/>
      <c r="X212" s="189"/>
      <c r="AE212" s="17"/>
      <c r="AL212" s="548"/>
    </row>
    <row r="213" spans="1:38" s="30" customFormat="1" x14ac:dyDescent="0.25">
      <c r="A213" s="21" t="s">
        <v>781</v>
      </c>
      <c r="B213" s="46">
        <v>4.0041000000000002E-4</v>
      </c>
      <c r="C213" s="545">
        <f t="shared" si="21"/>
        <v>3.9489957732535403E-6</v>
      </c>
      <c r="D213" s="46">
        <v>0</v>
      </c>
      <c r="E213" s="545">
        <f t="shared" si="22"/>
        <v>0</v>
      </c>
      <c r="F213" s="46"/>
      <c r="G213" s="46"/>
      <c r="H213" s="494">
        <f t="shared" si="23"/>
        <v>0</v>
      </c>
      <c r="I213" s="545">
        <f t="shared" si="24"/>
        <v>0</v>
      </c>
      <c r="J213" s="545">
        <f t="shared" si="25"/>
        <v>0</v>
      </c>
      <c r="K213" s="494" t="s">
        <v>240</v>
      </c>
      <c r="L213" s="546">
        <f t="shared" si="27"/>
        <v>-100</v>
      </c>
      <c r="M213" s="327"/>
      <c r="N213" s="327"/>
      <c r="T213" s="33"/>
      <c r="U213" s="189"/>
      <c r="V213" s="189"/>
      <c r="W213" s="189"/>
      <c r="X213" s="189"/>
      <c r="AE213" s="17"/>
      <c r="AL213" s="548"/>
    </row>
    <row r="214" spans="1:38" s="30" customFormat="1" x14ac:dyDescent="0.25">
      <c r="A214" s="21" t="s">
        <v>844</v>
      </c>
      <c r="B214" s="46">
        <v>5.6698000000000002E-4</v>
      </c>
      <c r="C214" s="545">
        <f t="shared" si="21"/>
        <v>5.5917724919939371E-6</v>
      </c>
      <c r="D214" s="46">
        <v>0</v>
      </c>
      <c r="E214" s="545">
        <f t="shared" si="22"/>
        <v>0</v>
      </c>
      <c r="F214" s="46"/>
      <c r="G214" s="46"/>
      <c r="H214" s="494">
        <f t="shared" si="23"/>
        <v>0</v>
      </c>
      <c r="I214" s="545">
        <f t="shared" si="24"/>
        <v>0</v>
      </c>
      <c r="J214" s="545">
        <f t="shared" si="25"/>
        <v>0</v>
      </c>
      <c r="K214" s="494" t="s">
        <v>240</v>
      </c>
      <c r="L214" s="546">
        <f t="shared" si="27"/>
        <v>-100</v>
      </c>
      <c r="M214" s="327"/>
      <c r="N214" s="327"/>
      <c r="T214" s="33"/>
      <c r="U214" s="189"/>
      <c r="V214" s="189"/>
      <c r="W214" s="189"/>
      <c r="X214" s="189"/>
      <c r="AE214" s="17"/>
      <c r="AL214" s="548"/>
    </row>
    <row r="215" spans="1:38" s="30" customFormat="1" x14ac:dyDescent="0.25">
      <c r="A215" s="21" t="s">
        <v>804</v>
      </c>
      <c r="B215" s="46">
        <v>0</v>
      </c>
      <c r="C215" s="545">
        <f t="shared" si="21"/>
        <v>0</v>
      </c>
      <c r="D215" s="46">
        <v>3.0000000000000004E-5</v>
      </c>
      <c r="E215" s="545">
        <f t="shared" si="22"/>
        <v>2.7997169147549182E-7</v>
      </c>
      <c r="F215" s="46"/>
      <c r="G215" s="46"/>
      <c r="H215" s="494">
        <f t="shared" si="23"/>
        <v>0</v>
      </c>
      <c r="I215" s="545">
        <f t="shared" si="24"/>
        <v>0</v>
      </c>
      <c r="J215" s="545">
        <f t="shared" si="25"/>
        <v>0</v>
      </c>
      <c r="K215" s="494">
        <f t="shared" si="26"/>
        <v>-100</v>
      </c>
      <c r="L215" s="546" t="s">
        <v>240</v>
      </c>
      <c r="M215" s="327"/>
      <c r="N215" s="327"/>
      <c r="T215" s="33"/>
      <c r="U215" s="189"/>
      <c r="V215" s="189"/>
      <c r="W215" s="189"/>
      <c r="X215" s="189"/>
      <c r="AE215" s="17"/>
      <c r="AL215" s="548"/>
    </row>
    <row r="216" spans="1:38" s="30" customFormat="1" x14ac:dyDescent="0.25">
      <c r="A216" s="21" t="s">
        <v>782</v>
      </c>
      <c r="B216" s="46">
        <v>6.4999999999999997E-3</v>
      </c>
      <c r="C216" s="545">
        <f t="shared" si="21"/>
        <v>6.410547320533456E-5</v>
      </c>
      <c r="D216" s="46">
        <v>0</v>
      </c>
      <c r="E216" s="545">
        <f t="shared" si="22"/>
        <v>0</v>
      </c>
      <c r="F216" s="46"/>
      <c r="G216" s="46"/>
      <c r="H216" s="494">
        <f t="shared" si="23"/>
        <v>0</v>
      </c>
      <c r="I216" s="545">
        <f t="shared" si="24"/>
        <v>0</v>
      </c>
      <c r="J216" s="545">
        <f t="shared" si="25"/>
        <v>0</v>
      </c>
      <c r="K216" s="494" t="s">
        <v>240</v>
      </c>
      <c r="L216" s="546">
        <f t="shared" si="27"/>
        <v>-100</v>
      </c>
      <c r="M216" s="327"/>
      <c r="N216" s="327"/>
      <c r="T216" s="33"/>
      <c r="U216" s="189"/>
      <c r="V216" s="189"/>
      <c r="W216" s="189"/>
      <c r="X216" s="189"/>
      <c r="AE216" s="17"/>
      <c r="AL216" s="548"/>
    </row>
    <row r="217" spans="1:38" s="30" customFormat="1" x14ac:dyDescent="0.25">
      <c r="A217" s="21" t="s">
        <v>798</v>
      </c>
      <c r="B217" s="46">
        <v>3.0000000000000001E-5</v>
      </c>
      <c r="C217" s="545">
        <f t="shared" si="21"/>
        <v>2.9587141479385183E-7</v>
      </c>
      <c r="D217" s="46">
        <v>0</v>
      </c>
      <c r="E217" s="545">
        <f t="shared" si="22"/>
        <v>0</v>
      </c>
      <c r="F217" s="46"/>
      <c r="G217" s="46"/>
      <c r="H217" s="494">
        <f t="shared" si="23"/>
        <v>0</v>
      </c>
      <c r="I217" s="545">
        <f t="shared" si="24"/>
        <v>0</v>
      </c>
      <c r="J217" s="545">
        <f t="shared" si="25"/>
        <v>0</v>
      </c>
      <c r="K217" s="494" t="s">
        <v>240</v>
      </c>
      <c r="L217" s="546">
        <f t="shared" si="27"/>
        <v>-100</v>
      </c>
      <c r="M217" s="327"/>
      <c r="N217" s="327"/>
      <c r="T217" s="33"/>
      <c r="U217" s="189"/>
      <c r="V217" s="189"/>
      <c r="W217" s="189"/>
      <c r="X217" s="189"/>
      <c r="AE217" s="17"/>
      <c r="AL217" s="548"/>
    </row>
    <row r="218" spans="1:38" s="30" customFormat="1" x14ac:dyDescent="0.25">
      <c r="A218" s="21" t="s">
        <v>913</v>
      </c>
      <c r="B218" s="46">
        <v>1.0038459999999999E-2</v>
      </c>
      <c r="C218" s="545">
        <f t="shared" si="21"/>
        <v>9.9003112085049657E-5</v>
      </c>
      <c r="D218" s="46">
        <v>1.311E-2</v>
      </c>
      <c r="E218" s="545">
        <f t="shared" si="22"/>
        <v>1.223476291747899E-4</v>
      </c>
      <c r="F218" s="46"/>
      <c r="G218" s="46"/>
      <c r="H218" s="494">
        <f t="shared" si="23"/>
        <v>0</v>
      </c>
      <c r="I218" s="545">
        <f t="shared" si="24"/>
        <v>0</v>
      </c>
      <c r="J218" s="545">
        <f t="shared" si="25"/>
        <v>0</v>
      </c>
      <c r="K218" s="494">
        <f t="shared" si="26"/>
        <v>-100</v>
      </c>
      <c r="L218" s="546">
        <f t="shared" si="27"/>
        <v>-100</v>
      </c>
      <c r="M218" s="327"/>
      <c r="N218" s="327"/>
      <c r="T218" s="33"/>
      <c r="U218" s="189"/>
      <c r="V218" s="189"/>
      <c r="W218" s="189"/>
      <c r="X218" s="189"/>
      <c r="AE218" s="17"/>
      <c r="AL218" s="548"/>
    </row>
    <row r="219" spans="1:38" s="30" customFormat="1" x14ac:dyDescent="0.25">
      <c r="A219" s="21" t="s">
        <v>816</v>
      </c>
      <c r="B219" s="46">
        <v>3.24223E-3</v>
      </c>
      <c r="C219" s="545">
        <f t="shared" si="21"/>
        <v>3.1976105906235672E-5</v>
      </c>
      <c r="D219" s="46">
        <v>0</v>
      </c>
      <c r="E219" s="545">
        <f t="shared" si="22"/>
        <v>0</v>
      </c>
      <c r="F219" s="46"/>
      <c r="G219" s="46"/>
      <c r="H219" s="494">
        <f t="shared" si="23"/>
        <v>0</v>
      </c>
      <c r="I219" s="545">
        <f t="shared" si="24"/>
        <v>0</v>
      </c>
      <c r="J219" s="545">
        <f t="shared" si="25"/>
        <v>0</v>
      </c>
      <c r="K219" s="494" t="s">
        <v>240</v>
      </c>
      <c r="L219" s="546">
        <f t="shared" si="27"/>
        <v>-100</v>
      </c>
      <c r="M219" s="327"/>
      <c r="N219" s="327"/>
      <c r="T219" s="33"/>
      <c r="U219" s="189"/>
      <c r="V219" s="189"/>
      <c r="W219" s="189"/>
      <c r="X219" s="189"/>
      <c r="AE219" s="17"/>
      <c r="AL219" s="548"/>
    </row>
    <row r="220" spans="1:38" s="30" customFormat="1" x14ac:dyDescent="0.25">
      <c r="A220" s="21" t="s">
        <v>805</v>
      </c>
      <c r="B220" s="46">
        <v>7.7999999999999999E-5</v>
      </c>
      <c r="C220" s="545">
        <f t="shared" si="21"/>
        <v>7.692656784640147E-7</v>
      </c>
      <c r="D220" s="46">
        <v>0</v>
      </c>
      <c r="E220" s="545">
        <f t="shared" si="22"/>
        <v>0</v>
      </c>
      <c r="F220" s="46"/>
      <c r="G220" s="46"/>
      <c r="H220" s="494">
        <f t="shared" si="23"/>
        <v>0</v>
      </c>
      <c r="I220" s="545">
        <f t="shared" si="24"/>
        <v>0</v>
      </c>
      <c r="J220" s="545">
        <f t="shared" si="25"/>
        <v>0</v>
      </c>
      <c r="K220" s="494" t="s">
        <v>240</v>
      </c>
      <c r="L220" s="546">
        <f t="shared" si="27"/>
        <v>-100</v>
      </c>
      <c r="M220" s="327"/>
      <c r="N220" s="327"/>
      <c r="T220" s="33"/>
      <c r="U220" s="189"/>
      <c r="V220" s="189"/>
      <c r="W220" s="189"/>
      <c r="X220" s="189"/>
      <c r="AE220" s="17"/>
      <c r="AL220" s="548"/>
    </row>
    <row r="221" spans="1:38" s="30" customFormat="1" x14ac:dyDescent="0.25">
      <c r="A221" s="21" t="s">
        <v>777</v>
      </c>
      <c r="B221" s="46">
        <v>8.691260000000001E-3</v>
      </c>
      <c r="C221" s="545">
        <f t="shared" si="21"/>
        <v>8.571651308470709E-5</v>
      </c>
      <c r="D221" s="46">
        <v>1.7329999999999998E-5</v>
      </c>
      <c r="E221" s="545">
        <f t="shared" si="22"/>
        <v>1.6173031377567575E-7</v>
      </c>
      <c r="F221" s="46"/>
      <c r="G221" s="46"/>
      <c r="H221" s="494">
        <f t="shared" si="23"/>
        <v>0</v>
      </c>
      <c r="I221" s="545">
        <f t="shared" si="24"/>
        <v>0</v>
      </c>
      <c r="J221" s="545">
        <f t="shared" si="25"/>
        <v>0</v>
      </c>
      <c r="K221" s="494">
        <f t="shared" si="26"/>
        <v>-100</v>
      </c>
      <c r="L221" s="546">
        <f t="shared" si="27"/>
        <v>-100</v>
      </c>
      <c r="M221" s="327"/>
      <c r="N221" s="327"/>
      <c r="T221" s="33"/>
      <c r="U221" s="189"/>
      <c r="V221" s="189"/>
      <c r="W221" s="189"/>
      <c r="X221" s="189"/>
      <c r="AE221" s="17"/>
      <c r="AL221" s="548"/>
    </row>
    <row r="222" spans="1:38" s="30" customFormat="1" x14ac:dyDescent="0.25">
      <c r="A222" s="21" t="s">
        <v>797</v>
      </c>
      <c r="B222" s="46">
        <v>1E-3</v>
      </c>
      <c r="C222" s="545">
        <f t="shared" si="21"/>
        <v>9.8623804931283933E-6</v>
      </c>
      <c r="D222" s="46">
        <v>0</v>
      </c>
      <c r="E222" s="545">
        <f t="shared" si="22"/>
        <v>0</v>
      </c>
      <c r="F222" s="46"/>
      <c r="G222" s="46"/>
      <c r="H222" s="494">
        <f t="shared" si="23"/>
        <v>0</v>
      </c>
      <c r="I222" s="545">
        <f t="shared" si="24"/>
        <v>0</v>
      </c>
      <c r="J222" s="545">
        <f t="shared" si="25"/>
        <v>0</v>
      </c>
      <c r="K222" s="494" t="s">
        <v>240</v>
      </c>
      <c r="L222" s="546">
        <f t="shared" si="27"/>
        <v>-100</v>
      </c>
      <c r="M222" s="327"/>
      <c r="N222" s="327"/>
      <c r="T222" s="33"/>
      <c r="U222" s="189"/>
      <c r="V222" s="189"/>
      <c r="W222" s="189"/>
      <c r="X222" s="189"/>
      <c r="AE222" s="17"/>
      <c r="AL222" s="548"/>
    </row>
    <row r="223" spans="1:38" s="30" customFormat="1" x14ac:dyDescent="0.25">
      <c r="A223" s="21" t="s">
        <v>830</v>
      </c>
      <c r="B223" s="46">
        <v>0</v>
      </c>
      <c r="C223" s="545">
        <f t="shared" si="21"/>
        <v>0</v>
      </c>
      <c r="D223" s="46">
        <v>1E-4</v>
      </c>
      <c r="E223" s="545">
        <f t="shared" si="22"/>
        <v>9.3323897158497274E-7</v>
      </c>
      <c r="F223" s="46"/>
      <c r="G223" s="46"/>
      <c r="H223" s="494">
        <f t="shared" si="23"/>
        <v>0</v>
      </c>
      <c r="I223" s="545">
        <f t="shared" si="24"/>
        <v>0</v>
      </c>
      <c r="J223" s="545">
        <f t="shared" si="25"/>
        <v>0</v>
      </c>
      <c r="K223" s="494">
        <f t="shared" si="26"/>
        <v>-100</v>
      </c>
      <c r="L223" s="546" t="s">
        <v>240</v>
      </c>
      <c r="M223" s="327"/>
      <c r="N223" s="327"/>
      <c r="T223" s="33"/>
      <c r="U223" s="189"/>
      <c r="V223" s="189"/>
      <c r="W223" s="189"/>
      <c r="X223" s="189"/>
      <c r="AE223" s="17"/>
      <c r="AL223" s="548"/>
    </row>
    <row r="224" spans="1:38" s="30" customFormat="1" x14ac:dyDescent="0.25">
      <c r="A224" s="21" t="s">
        <v>836</v>
      </c>
      <c r="B224" s="46">
        <v>4.5988542699999995</v>
      </c>
      <c r="C224" s="545">
        <f t="shared" si="21"/>
        <v>4.5355650643188215E-2</v>
      </c>
      <c r="D224" s="46">
        <v>0</v>
      </c>
      <c r="E224" s="545">
        <f t="shared" si="22"/>
        <v>0</v>
      </c>
      <c r="F224" s="46"/>
      <c r="G224" s="46"/>
      <c r="H224" s="494">
        <f t="shared" si="23"/>
        <v>0</v>
      </c>
      <c r="I224" s="545">
        <f t="shared" si="24"/>
        <v>0</v>
      </c>
      <c r="J224" s="545">
        <f t="shared" si="25"/>
        <v>0</v>
      </c>
      <c r="K224" s="494" t="s">
        <v>240</v>
      </c>
      <c r="L224" s="546">
        <f t="shared" si="27"/>
        <v>-100</v>
      </c>
      <c r="M224" s="327"/>
      <c r="N224" s="327"/>
      <c r="T224" s="33"/>
      <c r="U224" s="189"/>
      <c r="V224" s="189"/>
      <c r="W224" s="189"/>
      <c r="X224" s="189"/>
      <c r="AE224" s="17"/>
      <c r="AL224" s="548"/>
    </row>
    <row r="225" spans="1:38" s="30" customFormat="1" x14ac:dyDescent="0.25">
      <c r="A225" s="21" t="s">
        <v>815</v>
      </c>
      <c r="B225" s="46">
        <v>4.9894999999999996E-4</v>
      </c>
      <c r="C225" s="545">
        <f t="shared" si="21"/>
        <v>4.9208347470464118E-6</v>
      </c>
      <c r="D225" s="46">
        <v>0</v>
      </c>
      <c r="E225" s="545">
        <f t="shared" si="22"/>
        <v>0</v>
      </c>
      <c r="F225" s="46"/>
      <c r="G225" s="46"/>
      <c r="H225" s="494">
        <f t="shared" si="23"/>
        <v>0</v>
      </c>
      <c r="I225" s="545">
        <f t="shared" si="24"/>
        <v>0</v>
      </c>
      <c r="J225" s="545">
        <f t="shared" si="25"/>
        <v>0</v>
      </c>
      <c r="K225" s="494" t="s">
        <v>240</v>
      </c>
      <c r="L225" s="546">
        <f t="shared" si="27"/>
        <v>-100</v>
      </c>
      <c r="M225" s="327"/>
      <c r="N225" s="327"/>
      <c r="T225" s="33"/>
      <c r="U225" s="189"/>
      <c r="V225" s="189"/>
      <c r="W225" s="189"/>
      <c r="X225" s="189"/>
      <c r="AE225" s="17"/>
      <c r="AL225" s="548"/>
    </row>
    <row r="226" spans="1:38" s="30" customFormat="1" x14ac:dyDescent="0.25">
      <c r="A226" s="21" t="s">
        <v>773</v>
      </c>
      <c r="B226" s="46">
        <v>0</v>
      </c>
      <c r="C226" s="545">
        <f t="shared" si="21"/>
        <v>0</v>
      </c>
      <c r="D226" s="46">
        <v>3.2221109999999997E-2</v>
      </c>
      <c r="E226" s="545">
        <f t="shared" si="22"/>
        <v>3.0069995559726275E-4</v>
      </c>
      <c r="F226" s="46"/>
      <c r="G226" s="46"/>
      <c r="H226" s="494">
        <f t="shared" si="23"/>
        <v>0</v>
      </c>
      <c r="I226" s="545">
        <f t="shared" si="24"/>
        <v>0</v>
      </c>
      <c r="J226" s="545">
        <f t="shared" si="25"/>
        <v>0</v>
      </c>
      <c r="K226" s="494">
        <f t="shared" si="26"/>
        <v>-100</v>
      </c>
      <c r="L226" s="546" t="s">
        <v>240</v>
      </c>
      <c r="M226" s="327"/>
      <c r="N226" s="327"/>
      <c r="T226" s="33"/>
      <c r="U226" s="189"/>
      <c r="V226" s="189"/>
      <c r="W226" s="189"/>
      <c r="X226" s="189"/>
      <c r="AE226" s="17"/>
      <c r="AL226" s="548"/>
    </row>
    <row r="227" spans="1:38" s="30" customFormat="1" x14ac:dyDescent="0.25">
      <c r="A227" s="21" t="s">
        <v>981</v>
      </c>
      <c r="B227" s="46">
        <v>42.781449959999996</v>
      </c>
      <c r="C227" s="545">
        <f t="shared" si="21"/>
        <v>0.42192693755325245</v>
      </c>
      <c r="D227" s="46">
        <v>0</v>
      </c>
      <c r="E227" s="545">
        <f t="shared" si="22"/>
        <v>0</v>
      </c>
      <c r="F227" s="46"/>
      <c r="G227" s="46"/>
      <c r="H227" s="494">
        <f t="shared" si="23"/>
        <v>0</v>
      </c>
      <c r="I227" s="545">
        <f t="shared" si="24"/>
        <v>0</v>
      </c>
      <c r="J227" s="545">
        <f t="shared" si="25"/>
        <v>0</v>
      </c>
      <c r="K227" s="494" t="s">
        <v>240</v>
      </c>
      <c r="L227" s="546">
        <f t="shared" si="27"/>
        <v>-100</v>
      </c>
      <c r="M227" s="327"/>
      <c r="N227" s="327"/>
      <c r="T227" s="33"/>
      <c r="U227" s="189"/>
      <c r="V227" s="189"/>
      <c r="W227" s="189"/>
      <c r="X227" s="189"/>
      <c r="AE227" s="17"/>
      <c r="AL227" s="548"/>
    </row>
    <row r="228" spans="1:38" s="30" customFormat="1" x14ac:dyDescent="0.25">
      <c r="A228" s="21" t="s">
        <v>775</v>
      </c>
      <c r="B228" s="46">
        <v>1.4073450000000001E-2</v>
      </c>
      <c r="C228" s="545">
        <f t="shared" si="21"/>
        <v>1.3879771875101782E-4</v>
      </c>
      <c r="D228" s="46">
        <v>0</v>
      </c>
      <c r="E228" s="545">
        <f t="shared" si="22"/>
        <v>0</v>
      </c>
      <c r="F228" s="46"/>
      <c r="G228" s="46"/>
      <c r="H228" s="494">
        <f t="shared" si="23"/>
        <v>0</v>
      </c>
      <c r="I228" s="545">
        <f t="shared" si="24"/>
        <v>0</v>
      </c>
      <c r="J228" s="545">
        <f t="shared" si="25"/>
        <v>0</v>
      </c>
      <c r="K228" s="494" t="s">
        <v>240</v>
      </c>
      <c r="L228" s="546">
        <f t="shared" si="27"/>
        <v>-100</v>
      </c>
      <c r="M228" s="327"/>
      <c r="N228" s="327"/>
      <c r="T228" s="33"/>
      <c r="U228" s="189"/>
      <c r="V228" s="189"/>
      <c r="W228" s="189"/>
      <c r="X228" s="189"/>
      <c r="AE228" s="17"/>
      <c r="AL228" s="548"/>
    </row>
    <row r="229" spans="1:38" s="30" customFormat="1" x14ac:dyDescent="0.25">
      <c r="A229" s="21" t="s">
        <v>977</v>
      </c>
      <c r="B229" s="46">
        <v>0.60721700000000001</v>
      </c>
      <c r="C229" s="545">
        <f t="shared" si="21"/>
        <v>5.9886050958959441E-3</v>
      </c>
      <c r="D229" s="46">
        <v>0</v>
      </c>
      <c r="E229" s="545">
        <f t="shared" si="22"/>
        <v>0</v>
      </c>
      <c r="F229" s="46"/>
      <c r="G229" s="46"/>
      <c r="H229" s="494">
        <f t="shared" si="23"/>
        <v>0</v>
      </c>
      <c r="I229" s="545">
        <f t="shared" si="24"/>
        <v>0</v>
      </c>
      <c r="J229" s="545">
        <f t="shared" si="25"/>
        <v>0</v>
      </c>
      <c r="K229" s="494" t="s">
        <v>240</v>
      </c>
      <c r="L229" s="546">
        <f t="shared" si="27"/>
        <v>-100</v>
      </c>
      <c r="M229" s="327"/>
      <c r="N229" s="327"/>
      <c r="T229" s="33"/>
      <c r="U229" s="189"/>
      <c r="V229" s="189"/>
      <c r="W229" s="189"/>
      <c r="X229" s="189"/>
      <c r="AE229" s="17"/>
      <c r="AL229" s="548"/>
    </row>
    <row r="230" spans="1:38" s="30" customFormat="1" x14ac:dyDescent="0.25">
      <c r="A230" s="21" t="s">
        <v>808</v>
      </c>
      <c r="B230" s="46">
        <v>8.4701700000000008E-3</v>
      </c>
      <c r="C230" s="545">
        <f t="shared" si="21"/>
        <v>8.3536039381481333E-5</v>
      </c>
      <c r="D230" s="46">
        <v>1.01E-3</v>
      </c>
      <c r="E230" s="545">
        <f t="shared" si="22"/>
        <v>9.4257136130082242E-6</v>
      </c>
      <c r="F230" s="46"/>
      <c r="G230" s="46"/>
      <c r="H230" s="494">
        <f t="shared" si="23"/>
        <v>0</v>
      </c>
      <c r="I230" s="545">
        <f t="shared" si="24"/>
        <v>0</v>
      </c>
      <c r="J230" s="545">
        <f t="shared" si="25"/>
        <v>0</v>
      </c>
      <c r="K230" s="494">
        <f t="shared" si="26"/>
        <v>-100</v>
      </c>
      <c r="L230" s="546">
        <f t="shared" si="27"/>
        <v>-100</v>
      </c>
      <c r="M230" s="327"/>
      <c r="N230" s="327"/>
      <c r="T230" s="33"/>
      <c r="U230" s="189"/>
      <c r="V230" s="189"/>
      <c r="W230" s="189"/>
      <c r="X230" s="189"/>
      <c r="AE230" s="17"/>
      <c r="AL230" s="548"/>
    </row>
    <row r="231" spans="1:38" s="30" customFormat="1" x14ac:dyDescent="0.25">
      <c r="A231" s="21" t="s">
        <v>794</v>
      </c>
      <c r="B231" s="46">
        <v>0.25900000000000001</v>
      </c>
      <c r="C231" s="545">
        <f t="shared" si="21"/>
        <v>2.5543565477202539E-3</v>
      </c>
      <c r="D231" s="46">
        <v>0</v>
      </c>
      <c r="E231" s="545">
        <f t="shared" si="22"/>
        <v>0</v>
      </c>
      <c r="F231" s="46"/>
      <c r="G231" s="46"/>
      <c r="H231" s="494">
        <f t="shared" si="23"/>
        <v>0</v>
      </c>
      <c r="I231" s="545">
        <f t="shared" si="24"/>
        <v>0</v>
      </c>
      <c r="J231" s="545">
        <f t="shared" si="25"/>
        <v>0</v>
      </c>
      <c r="K231" s="494" t="s">
        <v>240</v>
      </c>
      <c r="L231" s="546">
        <f t="shared" si="27"/>
        <v>-100</v>
      </c>
      <c r="M231" s="327"/>
      <c r="N231" s="327"/>
      <c r="T231" s="33"/>
      <c r="U231" s="189"/>
      <c r="V231" s="189"/>
      <c r="W231" s="189"/>
      <c r="X231" s="189"/>
      <c r="AE231" s="17"/>
      <c r="AL231" s="548"/>
    </row>
    <row r="232" spans="1:38" s="30" customFormat="1" x14ac:dyDescent="0.25">
      <c r="A232" s="21" t="s">
        <v>813</v>
      </c>
      <c r="B232" s="46">
        <v>1.8421089999999998E-2</v>
      </c>
      <c r="C232" s="545">
        <f t="shared" si="21"/>
        <v>1.8167579867816252E-4</v>
      </c>
      <c r="D232" s="46">
        <v>5.1777110000000001E-2</v>
      </c>
      <c r="E232" s="545">
        <f t="shared" si="22"/>
        <v>4.8320416888042006E-4</v>
      </c>
      <c r="F232" s="46"/>
      <c r="G232" s="46"/>
      <c r="H232" s="494">
        <f t="shared" si="23"/>
        <v>0</v>
      </c>
      <c r="I232" s="545">
        <f t="shared" si="24"/>
        <v>0</v>
      </c>
      <c r="J232" s="545">
        <f t="shared" si="25"/>
        <v>0</v>
      </c>
      <c r="K232" s="494">
        <f t="shared" si="26"/>
        <v>-100</v>
      </c>
      <c r="L232" s="546">
        <f t="shared" si="27"/>
        <v>-100</v>
      </c>
      <c r="M232" s="327"/>
      <c r="N232" s="327"/>
      <c r="T232" s="33"/>
      <c r="U232" s="189"/>
      <c r="V232" s="189"/>
      <c r="W232" s="189"/>
      <c r="X232" s="189"/>
      <c r="AE232" s="17"/>
      <c r="AL232" s="548"/>
    </row>
    <row r="233" spans="1:38" s="30" customFormat="1" x14ac:dyDescent="0.25">
      <c r="A233" s="21" t="s">
        <v>853</v>
      </c>
      <c r="B233" s="46">
        <v>0.54236092000000002</v>
      </c>
      <c r="C233" s="545">
        <f t="shared" si="21"/>
        <v>5.348969757643169E-3</v>
      </c>
      <c r="D233" s="46">
        <v>0</v>
      </c>
      <c r="E233" s="545">
        <f t="shared" si="22"/>
        <v>0</v>
      </c>
      <c r="F233" s="46"/>
      <c r="G233" s="46"/>
      <c r="H233" s="494">
        <f t="shared" si="23"/>
        <v>0</v>
      </c>
      <c r="I233" s="545">
        <f t="shared" si="24"/>
        <v>0</v>
      </c>
      <c r="J233" s="545">
        <f t="shared" si="25"/>
        <v>0</v>
      </c>
      <c r="K233" s="494" t="s">
        <v>240</v>
      </c>
      <c r="L233" s="546">
        <f t="shared" si="27"/>
        <v>-100</v>
      </c>
      <c r="M233" s="327"/>
      <c r="N233" s="327"/>
      <c r="T233" s="33"/>
      <c r="U233" s="189"/>
      <c r="V233" s="189"/>
      <c r="W233" s="189"/>
      <c r="X233" s="189"/>
      <c r="AE233" s="17"/>
      <c r="AL233" s="548"/>
    </row>
    <row r="234" spans="1:38" ht="13" x14ac:dyDescent="0.3">
      <c r="A234" s="550" t="s">
        <v>217</v>
      </c>
      <c r="B234" s="551">
        <f>SUM(Table25[[#All],[Column2]])</f>
        <v>10139.539847370006</v>
      </c>
      <c r="C234" s="551">
        <f>SUM(Table25[[#All],[Column3]])</f>
        <v>99.999999999999901</v>
      </c>
      <c r="D234" s="551">
        <f>SUM(Table25[[#All],[Column4]])</f>
        <v>10715.369058169992</v>
      </c>
      <c r="E234" s="551">
        <f>SUM(Table25[[#All],[Column5]])</f>
        <v>100.0000000000001</v>
      </c>
      <c r="F234" s="551">
        <f>SUM(Table25[[#All],[Column6]])</f>
        <v>8935.3715054999939</v>
      </c>
      <c r="G234" s="551">
        <f>SUM(Table25[[#All],[Column7]])</f>
        <v>2502.1796843099996</v>
      </c>
      <c r="H234" s="551">
        <f>SUM(Table25[[#All],[Column8]])</f>
        <v>11437.551189809998</v>
      </c>
      <c r="I234" s="552">
        <f>SUM(Table25[[#All],[Column9]])</f>
        <v>78.123117066009257</v>
      </c>
      <c r="J234" s="552">
        <f>SUM(Table25[[#All],[Column10]])</f>
        <v>21.87688293399075</v>
      </c>
      <c r="K234" s="553">
        <f>((H234/D234)-1)*100</f>
        <v>6.7396850982876177</v>
      </c>
      <c r="L234" s="553">
        <f>((H234/B234)-1)*100</f>
        <v>12.801481743539567</v>
      </c>
      <c r="T234" s="34"/>
      <c r="U234" s="34"/>
      <c r="V234" s="34"/>
      <c r="W234" s="34"/>
      <c r="X234" s="34"/>
      <c r="Y234" s="34"/>
      <c r="Z234" s="34"/>
      <c r="AA234" s="34"/>
      <c r="AE234" s="18"/>
    </row>
    <row r="235" spans="1:38" x14ac:dyDescent="0.25">
      <c r="AE235" s="34"/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16F49C3-36C3-4FDD-8B6D-DD7119177FFC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S206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9" ht="13" x14ac:dyDescent="0.3">
      <c r="A1" s="11" t="s">
        <v>643</v>
      </c>
      <c r="K1" s="613" t="s">
        <v>239</v>
      </c>
      <c r="L1" s="613"/>
    </row>
    <row r="2" spans="1:19" ht="13" x14ac:dyDescent="0.3">
      <c r="A2" s="592" t="s">
        <v>468</v>
      </c>
      <c r="B2" s="617">
        <v>45658</v>
      </c>
      <c r="C2" s="617"/>
      <c r="D2" s="617">
        <v>45995</v>
      </c>
      <c r="E2" s="617"/>
      <c r="F2" s="617">
        <v>46023</v>
      </c>
      <c r="G2" s="617"/>
      <c r="H2" s="592" t="s">
        <v>233</v>
      </c>
      <c r="I2" s="592" t="s">
        <v>625</v>
      </c>
      <c r="J2" s="250"/>
    </row>
    <row r="3" spans="1:19" ht="13" x14ac:dyDescent="0.3">
      <c r="A3" s="593"/>
      <c r="B3" s="244" t="s">
        <v>624</v>
      </c>
      <c r="C3" s="227" t="s">
        <v>234</v>
      </c>
      <c r="D3" s="244" t="s">
        <v>624</v>
      </c>
      <c r="E3" s="227" t="s">
        <v>234</v>
      </c>
      <c r="F3" s="227" t="s">
        <v>624</v>
      </c>
      <c r="G3" s="227" t="s">
        <v>234</v>
      </c>
      <c r="H3" s="593"/>
      <c r="I3" s="593"/>
      <c r="J3" s="250"/>
      <c r="O3" s="18"/>
      <c r="P3" s="18"/>
      <c r="Q3" s="18"/>
      <c r="R3" s="18"/>
      <c r="S3" s="18"/>
    </row>
    <row r="4" spans="1:19" x14ac:dyDescent="0.25">
      <c r="A4" s="56" t="s">
        <v>970</v>
      </c>
      <c r="B4" s="45">
        <v>295.74458007999999</v>
      </c>
      <c r="C4" s="252">
        <f t="shared" ref="C4:C35" si="0">(B4/$B$160)*100</f>
        <v>9.6630211963198303</v>
      </c>
      <c r="D4" s="45">
        <v>351.76126905999996</v>
      </c>
      <c r="E4" s="252">
        <f t="shared" ref="E4:E35" si="1">(D4/$D$160)*100</f>
        <v>15.846631157341212</v>
      </c>
      <c r="F4" s="45">
        <v>651.99157874999992</v>
      </c>
      <c r="G4" s="252">
        <f t="shared" ref="G4:G35" si="2">(F4/$F$160)*100</f>
        <v>26.056944784514656</v>
      </c>
      <c r="H4" s="252">
        <f>((F4/D4)-1)*100</f>
        <v>85.3505874857387</v>
      </c>
      <c r="I4" s="251">
        <f>((F4/B4)-1)*100</f>
        <v>120.45765929966792</v>
      </c>
      <c r="J4" s="250"/>
      <c r="O4" s="18"/>
      <c r="P4" s="18"/>
      <c r="Q4" s="18"/>
      <c r="R4" s="18"/>
      <c r="S4" s="18"/>
    </row>
    <row r="5" spans="1:19" x14ac:dyDescent="0.25">
      <c r="A5" s="21" t="s">
        <v>732</v>
      </c>
      <c r="B5" s="46">
        <v>104.84112975000002</v>
      </c>
      <c r="C5" s="252">
        <f t="shared" si="0"/>
        <v>3.4255304315173771</v>
      </c>
      <c r="D5" s="46">
        <v>324.5984180599998</v>
      </c>
      <c r="E5" s="252">
        <f t="shared" si="1"/>
        <v>14.622961245843937</v>
      </c>
      <c r="F5" s="46">
        <v>334.89987481999998</v>
      </c>
      <c r="G5" s="252">
        <f t="shared" si="2"/>
        <v>13.384325551038586</v>
      </c>
      <c r="H5" s="252">
        <f t="shared" ref="H5:H68" si="3">((F5/D5)-1)*100</f>
        <v>3.1736004203495538</v>
      </c>
      <c r="I5" s="251">
        <f t="shared" ref="I5:I68" si="4">((F5/B5)-1)*100</f>
        <v>219.4355837433161</v>
      </c>
      <c r="J5" s="250"/>
      <c r="O5" s="18"/>
      <c r="P5" s="18"/>
      <c r="Q5" s="18"/>
      <c r="R5" s="18"/>
      <c r="S5" s="18"/>
    </row>
    <row r="6" spans="1:19" x14ac:dyDescent="0.25">
      <c r="A6" s="21" t="s">
        <v>979</v>
      </c>
      <c r="B6" s="46">
        <v>364.94452770999999</v>
      </c>
      <c r="C6" s="252">
        <f t="shared" si="0"/>
        <v>11.924028179278</v>
      </c>
      <c r="D6" s="46">
        <v>297.59502771000001</v>
      </c>
      <c r="E6" s="252">
        <f t="shared" si="1"/>
        <v>13.406474939612298</v>
      </c>
      <c r="F6" s="46">
        <v>308.64184721999987</v>
      </c>
      <c r="G6" s="252">
        <f t="shared" si="2"/>
        <v>12.334919396690362</v>
      </c>
      <c r="H6" s="252">
        <f t="shared" si="3"/>
        <v>3.7120309418491981</v>
      </c>
      <c r="I6" s="251">
        <f t="shared" si="4"/>
        <v>-15.42773660514799</v>
      </c>
      <c r="J6" s="250"/>
      <c r="O6" s="18"/>
      <c r="P6" s="18"/>
      <c r="Q6" s="18"/>
      <c r="R6" s="18"/>
      <c r="S6" s="18"/>
    </row>
    <row r="7" spans="1:19" x14ac:dyDescent="0.25">
      <c r="A7" s="21" t="s">
        <v>742</v>
      </c>
      <c r="B7" s="46">
        <v>148.96181704999998</v>
      </c>
      <c r="C7" s="252">
        <f t="shared" si="0"/>
        <v>4.8671092981893285</v>
      </c>
      <c r="D7" s="46">
        <v>128.13607128999999</v>
      </c>
      <c r="E7" s="252">
        <f t="shared" si="1"/>
        <v>5.7724520528070471</v>
      </c>
      <c r="F7" s="46">
        <v>172.12455420000001</v>
      </c>
      <c r="G7" s="252">
        <f t="shared" si="2"/>
        <v>6.8789845621124934</v>
      </c>
      <c r="H7" s="252">
        <f t="shared" si="3"/>
        <v>34.329508051206318</v>
      </c>
      <c r="I7" s="251">
        <f t="shared" si="4"/>
        <v>15.549445897417669</v>
      </c>
      <c r="J7" s="250"/>
      <c r="O7" s="18"/>
      <c r="P7" s="18"/>
      <c r="Q7" s="18"/>
      <c r="R7" s="18"/>
      <c r="S7" s="18"/>
    </row>
    <row r="8" spans="1:19" x14ac:dyDescent="0.25">
      <c r="A8" s="21" t="s">
        <v>734</v>
      </c>
      <c r="B8" s="46"/>
      <c r="C8" s="252">
        <f t="shared" si="0"/>
        <v>0</v>
      </c>
      <c r="D8" s="46"/>
      <c r="E8" s="252">
        <f t="shared" si="1"/>
        <v>0</v>
      </c>
      <c r="F8" s="46">
        <v>165.31811376000002</v>
      </c>
      <c r="G8" s="252">
        <f t="shared" si="2"/>
        <v>6.6069641119953406</v>
      </c>
      <c r="H8" s="252" t="s">
        <v>240</v>
      </c>
      <c r="I8" s="251" t="s">
        <v>240</v>
      </c>
      <c r="J8" s="250"/>
      <c r="O8" s="18"/>
      <c r="P8" s="18"/>
      <c r="Q8" s="18"/>
      <c r="R8" s="18"/>
      <c r="S8" s="18"/>
    </row>
    <row r="9" spans="1:19" x14ac:dyDescent="0.25">
      <c r="A9" s="21" t="s">
        <v>745</v>
      </c>
      <c r="B9" s="46">
        <v>326.35812257999987</v>
      </c>
      <c r="C9" s="252">
        <f t="shared" si="0"/>
        <v>10.663273880551326</v>
      </c>
      <c r="D9" s="46">
        <v>151.49468300000004</v>
      </c>
      <c r="E9" s="252">
        <f t="shared" si="1"/>
        <v>6.824743298813396</v>
      </c>
      <c r="F9" s="46">
        <v>152.75957176999995</v>
      </c>
      <c r="G9" s="252">
        <f t="shared" si="2"/>
        <v>6.1050600293769417</v>
      </c>
      <c r="H9" s="252">
        <f t="shared" si="3"/>
        <v>0.83493938199792339</v>
      </c>
      <c r="I9" s="251">
        <f t="shared" si="4"/>
        <v>-53.19265518432006</v>
      </c>
      <c r="J9" s="250"/>
      <c r="O9" s="18"/>
      <c r="P9" s="18"/>
      <c r="Q9" s="18"/>
      <c r="R9" s="18"/>
      <c r="S9" s="18"/>
    </row>
    <row r="10" spans="1:19" x14ac:dyDescent="0.25">
      <c r="A10" s="21" t="s">
        <v>464</v>
      </c>
      <c r="B10" s="46">
        <v>266.43518359000007</v>
      </c>
      <c r="C10" s="252">
        <f t="shared" si="0"/>
        <v>8.7053795737494344</v>
      </c>
      <c r="D10" s="46">
        <v>434.42034562999999</v>
      </c>
      <c r="E10" s="252">
        <f t="shared" si="1"/>
        <v>19.570372266507473</v>
      </c>
      <c r="F10" s="46">
        <v>150.49132609</v>
      </c>
      <c r="G10" s="252">
        <f t="shared" si="2"/>
        <v>6.0144092382198133</v>
      </c>
      <c r="H10" s="252">
        <f t="shared" si="3"/>
        <v>-65.358131219255796</v>
      </c>
      <c r="I10" s="251">
        <f t="shared" si="4"/>
        <v>-43.516721754893531</v>
      </c>
      <c r="J10" s="250"/>
      <c r="O10" s="18"/>
      <c r="P10" s="18"/>
      <c r="Q10" s="18"/>
      <c r="R10" s="18"/>
      <c r="S10" s="18"/>
    </row>
    <row r="11" spans="1:19" x14ac:dyDescent="0.25">
      <c r="A11" s="21" t="s">
        <v>925</v>
      </c>
      <c r="B11" s="46">
        <v>51.689898600000014</v>
      </c>
      <c r="C11" s="252">
        <f t="shared" si="0"/>
        <v>1.6888917648881734</v>
      </c>
      <c r="D11" s="46">
        <v>73.430009479999995</v>
      </c>
      <c r="E11" s="252">
        <f t="shared" si="1"/>
        <v>3.3079772517853581</v>
      </c>
      <c r="F11" s="46">
        <v>113.05950871</v>
      </c>
      <c r="G11" s="252">
        <f t="shared" si="2"/>
        <v>4.5184408385594113</v>
      </c>
      <c r="H11" s="252">
        <f t="shared" si="3"/>
        <v>53.969078188385389</v>
      </c>
      <c r="I11" s="251">
        <f t="shared" si="4"/>
        <v>118.72650512415586</v>
      </c>
      <c r="J11" s="250"/>
      <c r="O11" s="18"/>
      <c r="P11" s="18"/>
      <c r="Q11" s="18"/>
      <c r="R11" s="18"/>
      <c r="S11" s="18"/>
    </row>
    <row r="12" spans="1:19" x14ac:dyDescent="0.25">
      <c r="A12" s="21" t="s">
        <v>956</v>
      </c>
      <c r="B12" s="46">
        <v>53.154171210000001</v>
      </c>
      <c r="C12" s="252">
        <f t="shared" si="0"/>
        <v>1.7367347287855777</v>
      </c>
      <c r="D12" s="46">
        <v>104.02421707999999</v>
      </c>
      <c r="E12" s="252">
        <f t="shared" si="1"/>
        <v>4.6862276904532667</v>
      </c>
      <c r="F12" s="46">
        <v>73.795353150000011</v>
      </c>
      <c r="G12" s="252">
        <f t="shared" si="2"/>
        <v>2.9492427587329639</v>
      </c>
      <c r="H12" s="252">
        <f t="shared" si="3"/>
        <v>-29.059448634689002</v>
      </c>
      <c r="I12" s="251">
        <f t="shared" si="4"/>
        <v>38.832666317853807</v>
      </c>
      <c r="J12" s="250"/>
      <c r="O12" s="18"/>
      <c r="P12" s="18"/>
      <c r="Q12" s="18"/>
      <c r="R12" s="18"/>
      <c r="S12" s="18"/>
    </row>
    <row r="13" spans="1:19" x14ac:dyDescent="0.25">
      <c r="A13" s="21" t="s">
        <v>739</v>
      </c>
      <c r="B13" s="46"/>
      <c r="C13" s="252">
        <f t="shared" si="0"/>
        <v>0</v>
      </c>
      <c r="D13" s="46"/>
      <c r="E13" s="252">
        <f t="shared" si="1"/>
        <v>0</v>
      </c>
      <c r="F13" s="46">
        <v>45.222053619999997</v>
      </c>
      <c r="G13" s="252">
        <f t="shared" si="2"/>
        <v>1.8073064018370211</v>
      </c>
      <c r="H13" s="252" t="s">
        <v>240</v>
      </c>
      <c r="I13" s="251" t="s">
        <v>240</v>
      </c>
      <c r="J13" s="250"/>
      <c r="O13" s="18"/>
      <c r="P13" s="18"/>
      <c r="Q13" s="18"/>
      <c r="R13" s="18"/>
      <c r="S13" s="18"/>
    </row>
    <row r="14" spans="1:19" x14ac:dyDescent="0.25">
      <c r="A14" s="21" t="s">
        <v>754</v>
      </c>
      <c r="B14" s="46">
        <v>47.290727230000002</v>
      </c>
      <c r="C14" s="252">
        <f t="shared" si="0"/>
        <v>1.5451552805777775</v>
      </c>
      <c r="D14" s="46">
        <v>68.832004039999973</v>
      </c>
      <c r="E14" s="252">
        <f t="shared" si="1"/>
        <v>3.100839904169352</v>
      </c>
      <c r="F14" s="46">
        <v>41.67558809999997</v>
      </c>
      <c r="G14" s="252">
        <f t="shared" si="2"/>
        <v>1.665571356099169</v>
      </c>
      <c r="H14" s="252">
        <f t="shared" si="3"/>
        <v>-39.453182162499211</v>
      </c>
      <c r="I14" s="251">
        <f t="shared" si="4"/>
        <v>-11.873657816025151</v>
      </c>
      <c r="J14" s="250"/>
      <c r="O14" s="18"/>
      <c r="P14" s="18"/>
      <c r="Q14" s="18"/>
      <c r="R14" s="18"/>
      <c r="S14" s="18"/>
    </row>
    <row r="15" spans="1:19" x14ac:dyDescent="0.25">
      <c r="A15" s="21" t="s">
        <v>917</v>
      </c>
      <c r="B15" s="46">
        <v>24.053106919999998</v>
      </c>
      <c r="C15" s="252">
        <f t="shared" si="0"/>
        <v>0.78590005586048317</v>
      </c>
      <c r="D15" s="46">
        <v>39.764281349999997</v>
      </c>
      <c r="E15" s="252">
        <f t="shared" si="1"/>
        <v>1.7913566819737361</v>
      </c>
      <c r="F15" s="46">
        <v>39.002206899999997</v>
      </c>
      <c r="G15" s="252">
        <f t="shared" si="2"/>
        <v>1.5587292609145784</v>
      </c>
      <c r="H15" s="252">
        <f t="shared" si="3"/>
        <v>-1.9164798762294266</v>
      </c>
      <c r="I15" s="251">
        <f t="shared" si="4"/>
        <v>62.15039092338597</v>
      </c>
      <c r="J15" s="250"/>
      <c r="O15" s="18"/>
      <c r="P15" s="18"/>
      <c r="Q15" s="18"/>
      <c r="R15" s="18"/>
      <c r="S15" s="18"/>
    </row>
    <row r="16" spans="1:19" x14ac:dyDescent="0.25">
      <c r="A16" s="21" t="s">
        <v>972</v>
      </c>
      <c r="B16" s="46">
        <v>33.238002619999996</v>
      </c>
      <c r="C16" s="252">
        <f t="shared" si="0"/>
        <v>1.0860030765517792</v>
      </c>
      <c r="D16" s="46">
        <v>10.064497730000001</v>
      </c>
      <c r="E16" s="252">
        <f t="shared" si="1"/>
        <v>0.45339949943154195</v>
      </c>
      <c r="F16" s="46">
        <v>34.877326939999996</v>
      </c>
      <c r="G16" s="252">
        <f t="shared" si="2"/>
        <v>1.3938777921785324</v>
      </c>
      <c r="H16" s="252">
        <f t="shared" si="3"/>
        <v>246.53817682365352</v>
      </c>
      <c r="I16" s="251">
        <f t="shared" si="4"/>
        <v>4.9320783163233406</v>
      </c>
      <c r="J16" s="250"/>
      <c r="O16" s="18"/>
      <c r="P16" s="18"/>
      <c r="Q16" s="18"/>
      <c r="R16" s="18"/>
      <c r="S16" s="18"/>
    </row>
    <row r="17" spans="1:19" x14ac:dyDescent="0.25">
      <c r="A17" s="21" t="s">
        <v>939</v>
      </c>
      <c r="B17" s="46">
        <v>62.75469365</v>
      </c>
      <c r="C17" s="252">
        <f t="shared" si="0"/>
        <v>2.0504177447460714</v>
      </c>
      <c r="D17" s="46">
        <v>38.422298280000007</v>
      </c>
      <c r="E17" s="252">
        <f t="shared" si="1"/>
        <v>1.7309011611413416</v>
      </c>
      <c r="F17" s="46">
        <v>34.625348370000005</v>
      </c>
      <c r="G17" s="252">
        <f t="shared" si="2"/>
        <v>1.3838074294631753</v>
      </c>
      <c r="H17" s="252">
        <f t="shared" si="3"/>
        <v>-9.8821519793792056</v>
      </c>
      <c r="I17" s="251">
        <f t="shared" si="4"/>
        <v>-44.824289059373001</v>
      </c>
      <c r="J17" s="250"/>
      <c r="O17" s="18"/>
      <c r="P17" s="18"/>
      <c r="Q17" s="18"/>
      <c r="R17" s="18"/>
      <c r="S17" s="18"/>
    </row>
    <row r="18" spans="1:19" x14ac:dyDescent="0.25">
      <c r="A18" s="21" t="s">
        <v>978</v>
      </c>
      <c r="B18" s="46">
        <v>103.69800850000001</v>
      </c>
      <c r="C18" s="252">
        <f t="shared" si="0"/>
        <v>3.3881806181557064</v>
      </c>
      <c r="D18" s="46">
        <v>80.905103440000019</v>
      </c>
      <c r="E18" s="252">
        <f t="shared" si="1"/>
        <v>3.6447256867882598</v>
      </c>
      <c r="F18" s="46">
        <v>27.001876920000001</v>
      </c>
      <c r="G18" s="252">
        <f t="shared" si="2"/>
        <v>1.0791342080393409</v>
      </c>
      <c r="H18" s="252">
        <f t="shared" si="3"/>
        <v>-66.625248875647443</v>
      </c>
      <c r="I18" s="251">
        <f t="shared" si="4"/>
        <v>-73.961045818927175</v>
      </c>
      <c r="J18" s="250"/>
      <c r="O18" s="18"/>
      <c r="P18" s="18"/>
      <c r="Q18" s="18"/>
      <c r="R18" s="18"/>
      <c r="S18" s="18"/>
    </row>
    <row r="19" spans="1:19" x14ac:dyDescent="0.25">
      <c r="A19" s="21" t="s">
        <v>954</v>
      </c>
      <c r="B19" s="46">
        <v>29.414306580000002</v>
      </c>
      <c r="C19" s="252">
        <f t="shared" si="0"/>
        <v>0.96106940617712877</v>
      </c>
      <c r="D19" s="46">
        <v>19.442285419999997</v>
      </c>
      <c r="E19" s="252">
        <f t="shared" si="1"/>
        <v>0.87586312935987554</v>
      </c>
      <c r="F19" s="46">
        <v>23.93647138</v>
      </c>
      <c r="G19" s="252">
        <f t="shared" si="2"/>
        <v>0.95662479917387344</v>
      </c>
      <c r="H19" s="252">
        <f t="shared" si="3"/>
        <v>23.115523010360196</v>
      </c>
      <c r="I19" s="251">
        <f t="shared" si="4"/>
        <v>-18.62303020845172</v>
      </c>
      <c r="J19" s="250"/>
      <c r="O19" s="18"/>
      <c r="P19" s="18"/>
      <c r="Q19" s="18"/>
      <c r="R19" s="18"/>
      <c r="S19" s="18"/>
    </row>
    <row r="20" spans="1:19" x14ac:dyDescent="0.25">
      <c r="A20" s="21" t="s">
        <v>964</v>
      </c>
      <c r="B20" s="46">
        <v>34.272562900000004</v>
      </c>
      <c r="C20" s="252">
        <f t="shared" si="0"/>
        <v>1.1198058191474556</v>
      </c>
      <c r="D20" s="46">
        <v>5.7975647999999991</v>
      </c>
      <c r="E20" s="252">
        <f t="shared" si="1"/>
        <v>0.26117676696439845</v>
      </c>
      <c r="F20" s="46">
        <v>20.147737290000002</v>
      </c>
      <c r="G20" s="252">
        <f t="shared" si="2"/>
        <v>0.8052074523799011</v>
      </c>
      <c r="H20" s="252">
        <f t="shared" si="3"/>
        <v>247.52069161866041</v>
      </c>
      <c r="I20" s="251">
        <f t="shared" si="4"/>
        <v>-41.21321668068191</v>
      </c>
      <c r="J20" s="250"/>
      <c r="O20" s="18"/>
      <c r="P20" s="18"/>
      <c r="Q20" s="18"/>
      <c r="R20" s="18"/>
      <c r="S20" s="18"/>
    </row>
    <row r="21" spans="1:19" x14ac:dyDescent="0.25">
      <c r="A21" s="21" t="s">
        <v>938</v>
      </c>
      <c r="B21" s="46">
        <v>85.604011560000004</v>
      </c>
      <c r="C21" s="252">
        <f t="shared" si="0"/>
        <v>2.7969857570019676</v>
      </c>
      <c r="D21" s="46">
        <v>17.20081051</v>
      </c>
      <c r="E21" s="252">
        <f t="shared" si="1"/>
        <v>0.77488604839208464</v>
      </c>
      <c r="F21" s="46">
        <v>14.337821040000001</v>
      </c>
      <c r="G21" s="252">
        <f t="shared" si="2"/>
        <v>0.57301324640695384</v>
      </c>
      <c r="H21" s="252">
        <f t="shared" si="3"/>
        <v>-16.644503282770007</v>
      </c>
      <c r="I21" s="251">
        <f t="shared" si="4"/>
        <v>-83.250993991151219</v>
      </c>
      <c r="J21" s="250"/>
      <c r="O21" s="18"/>
      <c r="P21" s="18"/>
      <c r="Q21" s="18"/>
      <c r="R21" s="18"/>
      <c r="S21" s="18"/>
    </row>
    <row r="22" spans="1:19" x14ac:dyDescent="0.25">
      <c r="A22" s="21" t="s">
        <v>748</v>
      </c>
      <c r="B22" s="46">
        <v>12.588303440000001</v>
      </c>
      <c r="C22" s="252">
        <f t="shared" si="0"/>
        <v>0.41130438614807913</v>
      </c>
      <c r="D22" s="46">
        <v>0.60931000000000002</v>
      </c>
      <c r="E22" s="252">
        <f t="shared" si="1"/>
        <v>2.7449044791888765E-2</v>
      </c>
      <c r="F22" s="46">
        <v>11.150881960000001</v>
      </c>
      <c r="G22" s="252">
        <f t="shared" si="2"/>
        <v>0.44564673072529415</v>
      </c>
      <c r="H22" s="252">
        <f t="shared" si="3"/>
        <v>1730.0835305509513</v>
      </c>
      <c r="I22" s="251">
        <f t="shared" si="4"/>
        <v>-11.41870695166528</v>
      </c>
      <c r="J22" s="250"/>
      <c r="O22" s="18"/>
      <c r="P22" s="18"/>
      <c r="Q22" s="18"/>
      <c r="R22" s="18"/>
      <c r="S22" s="18"/>
    </row>
    <row r="23" spans="1:19" x14ac:dyDescent="0.25">
      <c r="A23" s="21" t="s">
        <v>957</v>
      </c>
      <c r="B23" s="46">
        <v>5.2022633500000008</v>
      </c>
      <c r="C23" s="252">
        <f t="shared" si="0"/>
        <v>0.16997633906355852</v>
      </c>
      <c r="D23" s="46">
        <v>13.99887197</v>
      </c>
      <c r="E23" s="252">
        <f t="shared" si="1"/>
        <v>0.63064066524502493</v>
      </c>
      <c r="F23" s="46">
        <v>10.681803120000001</v>
      </c>
      <c r="G23" s="252">
        <f t="shared" si="2"/>
        <v>0.42689992197525217</v>
      </c>
      <c r="H23" s="252">
        <f t="shared" si="3"/>
        <v>-23.695258140145693</v>
      </c>
      <c r="I23" s="251">
        <f t="shared" si="4"/>
        <v>105.32991894768261</v>
      </c>
      <c r="J23" s="250"/>
      <c r="O23" s="18"/>
      <c r="P23" s="18"/>
      <c r="Q23" s="18"/>
      <c r="R23" s="18"/>
      <c r="S23" s="18"/>
    </row>
    <row r="24" spans="1:19" x14ac:dyDescent="0.25">
      <c r="A24" s="21" t="s">
        <v>752</v>
      </c>
      <c r="B24" s="46"/>
      <c r="C24" s="252">
        <f t="shared" si="0"/>
        <v>0</v>
      </c>
      <c r="D24" s="46"/>
      <c r="E24" s="252">
        <f t="shared" si="1"/>
        <v>0</v>
      </c>
      <c r="F24" s="46">
        <v>9.1882782899999995</v>
      </c>
      <c r="G24" s="252">
        <f t="shared" si="2"/>
        <v>0.36721097000408881</v>
      </c>
      <c r="H24" s="252" t="s">
        <v>240</v>
      </c>
      <c r="I24" s="251" t="s">
        <v>240</v>
      </c>
      <c r="J24" s="250"/>
      <c r="O24" s="18"/>
      <c r="P24" s="18"/>
      <c r="Q24" s="18"/>
      <c r="R24" s="18"/>
      <c r="S24" s="18"/>
    </row>
    <row r="25" spans="1:19" x14ac:dyDescent="0.25">
      <c r="A25" s="21" t="s">
        <v>973</v>
      </c>
      <c r="B25" s="46">
        <v>11.183971609999999</v>
      </c>
      <c r="C25" s="252">
        <f t="shared" si="0"/>
        <v>0.3654198994863595</v>
      </c>
      <c r="D25" s="46">
        <v>4.144578319999999</v>
      </c>
      <c r="E25" s="252">
        <f t="shared" si="1"/>
        <v>0.18671073172797273</v>
      </c>
      <c r="F25" s="46">
        <v>7.4126401499999997</v>
      </c>
      <c r="G25" s="252">
        <f t="shared" si="2"/>
        <v>0.29624731574959234</v>
      </c>
      <c r="H25" s="252">
        <f t="shared" si="3"/>
        <v>78.851491700125507</v>
      </c>
      <c r="I25" s="251">
        <f t="shared" si="4"/>
        <v>-33.720860455581928</v>
      </c>
      <c r="J25" s="250"/>
      <c r="O25" s="18"/>
      <c r="P25" s="18"/>
      <c r="Q25" s="18"/>
      <c r="R25" s="18"/>
      <c r="S25" s="18"/>
    </row>
    <row r="26" spans="1:19" x14ac:dyDescent="0.25">
      <c r="A26" s="21" t="s">
        <v>952</v>
      </c>
      <c r="B26" s="46">
        <v>0.80507207999999997</v>
      </c>
      <c r="C26" s="252">
        <f t="shared" si="0"/>
        <v>2.6304551621879019E-2</v>
      </c>
      <c r="D26" s="46">
        <v>5.3205048799999988</v>
      </c>
      <c r="E26" s="252">
        <f t="shared" si="1"/>
        <v>0.23968550781471293</v>
      </c>
      <c r="F26" s="46">
        <v>7.3836176999999994</v>
      </c>
      <c r="G26" s="252">
        <f t="shared" si="2"/>
        <v>0.29508742902435092</v>
      </c>
      <c r="H26" s="252">
        <f t="shared" si="3"/>
        <v>38.776636175174438</v>
      </c>
      <c r="I26" s="251">
        <f t="shared" si="4"/>
        <v>817.13746923132646</v>
      </c>
      <c r="J26" s="250"/>
      <c r="O26" s="18"/>
      <c r="P26" s="18"/>
      <c r="Q26" s="18"/>
      <c r="R26" s="18"/>
      <c r="S26" s="18"/>
    </row>
    <row r="27" spans="1:19" x14ac:dyDescent="0.25">
      <c r="A27" s="21" t="s">
        <v>911</v>
      </c>
      <c r="B27" s="46">
        <v>0.77928884999999992</v>
      </c>
      <c r="C27" s="252">
        <f t="shared" si="0"/>
        <v>2.5462122327207938E-2</v>
      </c>
      <c r="D27" s="46">
        <v>4.3573274700000004</v>
      </c>
      <c r="E27" s="252">
        <f t="shared" si="1"/>
        <v>0.19629495149752568</v>
      </c>
      <c r="F27" s="46">
        <v>6.7343496900000002</v>
      </c>
      <c r="G27" s="252">
        <f t="shared" si="2"/>
        <v>0.26913933208825735</v>
      </c>
      <c r="H27" s="252">
        <f t="shared" si="3"/>
        <v>54.552296938104575</v>
      </c>
      <c r="I27" s="251">
        <f t="shared" si="4"/>
        <v>764.16605216409812</v>
      </c>
      <c r="J27" s="250"/>
      <c r="O27" s="18"/>
      <c r="P27" s="18"/>
      <c r="Q27" s="18"/>
      <c r="R27" s="18"/>
      <c r="S27" s="18"/>
    </row>
    <row r="28" spans="1:19" x14ac:dyDescent="0.25">
      <c r="A28" s="21" t="s">
        <v>747</v>
      </c>
      <c r="B28" s="46">
        <v>60.966666399999973</v>
      </c>
      <c r="C28" s="252">
        <f t="shared" si="0"/>
        <v>1.9919965719500252</v>
      </c>
      <c r="D28" s="46"/>
      <c r="E28" s="252">
        <f t="shared" si="1"/>
        <v>0</v>
      </c>
      <c r="F28" s="46">
        <v>5.8086683999999984</v>
      </c>
      <c r="G28" s="252">
        <f t="shared" si="2"/>
        <v>0.23214433545374236</v>
      </c>
      <c r="H28" s="252" t="s">
        <v>240</v>
      </c>
      <c r="I28" s="251">
        <f t="shared" si="4"/>
        <v>-90.472386399004421</v>
      </c>
      <c r="J28" s="250"/>
      <c r="O28" s="18"/>
      <c r="P28" s="18"/>
      <c r="Q28" s="18"/>
      <c r="R28" s="18"/>
      <c r="S28" s="18"/>
    </row>
    <row r="29" spans="1:19" x14ac:dyDescent="0.25">
      <c r="A29" s="21" t="s">
        <v>872</v>
      </c>
      <c r="B29" s="46">
        <v>2.0802588599999998</v>
      </c>
      <c r="C29" s="252">
        <f t="shared" si="0"/>
        <v>6.7969412837843288E-2</v>
      </c>
      <c r="D29" s="46">
        <v>7.9197400000000015E-2</v>
      </c>
      <c r="E29" s="252">
        <f t="shared" si="1"/>
        <v>3.5677946857939828E-3</v>
      </c>
      <c r="F29" s="46">
        <v>5.4268660200000003</v>
      </c>
      <c r="G29" s="252">
        <f t="shared" si="2"/>
        <v>0.21688554399307702</v>
      </c>
      <c r="H29" s="252">
        <f t="shared" si="3"/>
        <v>6752.328510784444</v>
      </c>
      <c r="I29" s="251">
        <f t="shared" si="4"/>
        <v>160.87455385239898</v>
      </c>
      <c r="J29" s="250"/>
      <c r="O29" s="18"/>
      <c r="P29" s="18"/>
      <c r="Q29" s="18"/>
      <c r="R29" s="18"/>
      <c r="S29" s="18"/>
    </row>
    <row r="30" spans="1:19" x14ac:dyDescent="0.25">
      <c r="A30" s="21" t="s">
        <v>466</v>
      </c>
      <c r="B30" s="46">
        <v>2.4522849999999998</v>
      </c>
      <c r="C30" s="252">
        <f t="shared" si="0"/>
        <v>8.012482233151047E-2</v>
      </c>
      <c r="D30" s="46">
        <v>6.1885372300000006</v>
      </c>
      <c r="E30" s="252">
        <f t="shared" si="1"/>
        <v>0.27878983706576493</v>
      </c>
      <c r="F30" s="46">
        <v>3.2053323300000001</v>
      </c>
      <c r="G30" s="252">
        <f t="shared" si="2"/>
        <v>0.12810160477679289</v>
      </c>
      <c r="H30" s="252">
        <f t="shared" si="3"/>
        <v>-48.205331714551228</v>
      </c>
      <c r="I30" s="251">
        <f t="shared" si="4"/>
        <v>30.707985817309179</v>
      </c>
      <c r="J30" s="250"/>
      <c r="O30" s="18"/>
      <c r="P30" s="18"/>
      <c r="Q30" s="18"/>
      <c r="R30" s="18"/>
      <c r="S30" s="18"/>
    </row>
    <row r="31" spans="1:19" x14ac:dyDescent="0.25">
      <c r="A31" s="21" t="s">
        <v>935</v>
      </c>
      <c r="B31" s="46">
        <v>3.1818333299999999</v>
      </c>
      <c r="C31" s="252">
        <f t="shared" si="0"/>
        <v>0.10396174598577587</v>
      </c>
      <c r="D31" s="46">
        <v>0.80505837999999996</v>
      </c>
      <c r="E31" s="252">
        <f t="shared" si="1"/>
        <v>3.6267390216319126E-2</v>
      </c>
      <c r="F31" s="46">
        <v>3.09547134</v>
      </c>
      <c r="G31" s="252">
        <f t="shared" si="2"/>
        <v>0.12371099323562791</v>
      </c>
      <c r="H31" s="252">
        <f t="shared" si="3"/>
        <v>284.50271643653969</v>
      </c>
      <c r="I31" s="251">
        <f t="shared" si="4"/>
        <v>-2.7142210494098928</v>
      </c>
      <c r="J31" s="250"/>
      <c r="O31" s="18"/>
      <c r="P31" s="18"/>
      <c r="Q31" s="18"/>
      <c r="R31" s="18"/>
      <c r="S31" s="18"/>
    </row>
    <row r="32" spans="1:19" x14ac:dyDescent="0.25">
      <c r="A32" s="21" t="s">
        <v>976</v>
      </c>
      <c r="B32" s="46">
        <v>57.883667559999992</v>
      </c>
      <c r="C32" s="252">
        <f t="shared" si="0"/>
        <v>1.8912640982354074</v>
      </c>
      <c r="D32" s="46">
        <v>21.24289581</v>
      </c>
      <c r="E32" s="252">
        <f t="shared" si="1"/>
        <v>0.95697953192646801</v>
      </c>
      <c r="F32" s="46">
        <v>3.0404145100000002</v>
      </c>
      <c r="G32" s="252">
        <f t="shared" si="2"/>
        <v>0.12151063846713404</v>
      </c>
      <c r="H32" s="252">
        <f t="shared" si="3"/>
        <v>-85.687382091434358</v>
      </c>
      <c r="I32" s="251">
        <f t="shared" si="4"/>
        <v>-94.747370651922807</v>
      </c>
      <c r="J32" s="250"/>
      <c r="O32" s="18"/>
      <c r="P32" s="18"/>
      <c r="Q32" s="18"/>
      <c r="R32" s="18"/>
      <c r="S32" s="18"/>
    </row>
    <row r="33" spans="1:19" x14ac:dyDescent="0.25">
      <c r="A33" s="21" t="s">
        <v>948</v>
      </c>
      <c r="B33" s="46">
        <v>12.50526556</v>
      </c>
      <c r="C33" s="252">
        <f t="shared" si="0"/>
        <v>0.40859124498309007</v>
      </c>
      <c r="D33" s="46">
        <v>2.4300925499999999</v>
      </c>
      <c r="E33" s="252">
        <f t="shared" si="1"/>
        <v>0.10947419089360948</v>
      </c>
      <c r="F33" s="46">
        <v>2.8454808699999998</v>
      </c>
      <c r="G33" s="252">
        <f t="shared" si="2"/>
        <v>0.11372008524578314</v>
      </c>
      <c r="H33" s="252">
        <f t="shared" si="3"/>
        <v>17.09351851640384</v>
      </c>
      <c r="I33" s="251">
        <f t="shared" si="4"/>
        <v>-77.245738154480264</v>
      </c>
      <c r="J33" s="250"/>
      <c r="O33" s="18"/>
      <c r="P33" s="18"/>
      <c r="Q33" s="18"/>
      <c r="R33" s="18"/>
      <c r="S33" s="18"/>
    </row>
    <row r="34" spans="1:19" x14ac:dyDescent="0.25">
      <c r="A34" s="21" t="s">
        <v>936</v>
      </c>
      <c r="B34" s="46">
        <v>123.94803248000005</v>
      </c>
      <c r="C34" s="252">
        <f t="shared" si="0"/>
        <v>4.0498205065073165</v>
      </c>
      <c r="D34" s="46">
        <v>3.6097500800000075</v>
      </c>
      <c r="E34" s="252">
        <f t="shared" si="1"/>
        <v>0.16261704490890394</v>
      </c>
      <c r="F34" s="46">
        <v>2.3596290800000044</v>
      </c>
      <c r="G34" s="252">
        <f t="shared" si="2"/>
        <v>9.4302942941953211E-2</v>
      </c>
      <c r="H34" s="252">
        <f t="shared" si="3"/>
        <v>-34.63178813753224</v>
      </c>
      <c r="I34" s="251">
        <f t="shared" si="4"/>
        <v>-98.096275485146762</v>
      </c>
      <c r="J34" s="250"/>
      <c r="O34" s="18"/>
      <c r="P34" s="18"/>
      <c r="Q34" s="18"/>
      <c r="R34" s="18"/>
      <c r="S34" s="18"/>
    </row>
    <row r="35" spans="1:19" x14ac:dyDescent="0.25">
      <c r="A35" s="21" t="s">
        <v>974</v>
      </c>
      <c r="B35" s="46">
        <v>4.6019519500000001</v>
      </c>
      <c r="C35" s="252">
        <f t="shared" si="0"/>
        <v>0.15036204289953992</v>
      </c>
      <c r="D35" s="46">
        <v>0.22264310999999998</v>
      </c>
      <c r="E35" s="252">
        <f t="shared" si="1"/>
        <v>1.0029936648004164E-2</v>
      </c>
      <c r="F35" s="46">
        <v>2.2966196200000004</v>
      </c>
      <c r="G35" s="252">
        <f t="shared" si="2"/>
        <v>9.1784760079423114E-2</v>
      </c>
      <c r="H35" s="252">
        <f t="shared" si="3"/>
        <v>931.52512556979673</v>
      </c>
      <c r="I35" s="251">
        <f t="shared" si="4"/>
        <v>-50.094663200470826</v>
      </c>
      <c r="J35" s="250"/>
      <c r="O35" s="18"/>
      <c r="P35" s="18"/>
      <c r="Q35" s="18"/>
      <c r="R35" s="18"/>
      <c r="S35" s="18"/>
    </row>
    <row r="36" spans="1:19" x14ac:dyDescent="0.25">
      <c r="A36" s="21" t="s">
        <v>931</v>
      </c>
      <c r="B36" s="46">
        <v>8.0315774200000014</v>
      </c>
      <c r="C36" s="252">
        <f t="shared" ref="C36:C67" si="5">(B36/$B$160)*100</f>
        <v>0.26242003430240429</v>
      </c>
      <c r="D36" s="46">
        <v>0.36512266999999993</v>
      </c>
      <c r="E36" s="252">
        <f t="shared" ref="E36:E67" si="6">(D36/$D$160)*100</f>
        <v>1.6448554140526199E-2</v>
      </c>
      <c r="F36" s="46">
        <v>2.2032159400000002</v>
      </c>
      <c r="G36" s="252">
        <f t="shared" ref="G36:G67" si="7">(F36/$F$160)*100</f>
        <v>8.8051867490386002E-2</v>
      </c>
      <c r="H36" s="252">
        <f t="shared" si="3"/>
        <v>503.4180074329542</v>
      </c>
      <c r="I36" s="251">
        <f t="shared" si="4"/>
        <v>-72.568079409735688</v>
      </c>
      <c r="J36" s="250"/>
      <c r="O36" s="18"/>
      <c r="P36" s="18"/>
      <c r="Q36" s="18"/>
      <c r="R36" s="18"/>
      <c r="S36" s="18"/>
    </row>
    <row r="37" spans="1:19" x14ac:dyDescent="0.25">
      <c r="A37" s="21" t="s">
        <v>862</v>
      </c>
      <c r="B37" s="46">
        <v>2.1177814499999998</v>
      </c>
      <c r="C37" s="252">
        <f t="shared" si="5"/>
        <v>6.9195408534578423E-2</v>
      </c>
      <c r="D37" s="46">
        <v>4.2999050000000004E-2</v>
      </c>
      <c r="E37" s="252">
        <f t="shared" si="6"/>
        <v>1.9370810416022464E-3</v>
      </c>
      <c r="F37" s="46">
        <v>1.6224584800000001</v>
      </c>
      <c r="G37" s="252">
        <f t="shared" si="7"/>
        <v>6.484180533371281E-2</v>
      </c>
      <c r="H37" s="252">
        <f t="shared" si="3"/>
        <v>3673.2426181508663</v>
      </c>
      <c r="I37" s="251">
        <f t="shared" si="4"/>
        <v>-23.388767051482095</v>
      </c>
      <c r="J37" s="250"/>
      <c r="O37" s="18"/>
      <c r="P37" s="18"/>
      <c r="Q37" s="18"/>
      <c r="R37" s="18"/>
      <c r="S37" s="18"/>
    </row>
    <row r="38" spans="1:19" x14ac:dyDescent="0.25">
      <c r="A38" s="21" t="s">
        <v>949</v>
      </c>
      <c r="B38" s="46">
        <v>1.3788999199999998</v>
      </c>
      <c r="C38" s="252">
        <f t="shared" si="5"/>
        <v>4.5053536233730582E-2</v>
      </c>
      <c r="D38" s="46">
        <v>0.52682845</v>
      </c>
      <c r="E38" s="252">
        <f t="shared" si="6"/>
        <v>2.3733301146692705E-2</v>
      </c>
      <c r="F38" s="46">
        <v>1.6175945900000002</v>
      </c>
      <c r="G38" s="252">
        <f t="shared" si="7"/>
        <v>6.4647419213863022E-2</v>
      </c>
      <c r="H38" s="252">
        <f t="shared" si="3"/>
        <v>207.04389445938239</v>
      </c>
      <c r="I38" s="251">
        <f t="shared" si="4"/>
        <v>17.310514457060844</v>
      </c>
      <c r="J38" s="250"/>
      <c r="O38" s="18"/>
      <c r="P38" s="18"/>
      <c r="Q38" s="18"/>
      <c r="R38" s="18"/>
      <c r="S38" s="18"/>
    </row>
    <row r="39" spans="1:19" x14ac:dyDescent="0.25">
      <c r="A39" s="21" t="s">
        <v>946</v>
      </c>
      <c r="B39" s="46">
        <v>1.5373346000000003</v>
      </c>
      <c r="C39" s="252">
        <f t="shared" si="5"/>
        <v>5.0230157460932866E-2</v>
      </c>
      <c r="D39" s="46">
        <v>2.7013792400000001</v>
      </c>
      <c r="E39" s="252">
        <f t="shared" si="6"/>
        <v>0.12169549122554764</v>
      </c>
      <c r="F39" s="46">
        <v>1.4527065000000003</v>
      </c>
      <c r="G39" s="252">
        <f t="shared" si="7"/>
        <v>5.8057641068275156E-2</v>
      </c>
      <c r="H39" s="252">
        <f t="shared" si="3"/>
        <v>-46.223526171764007</v>
      </c>
      <c r="I39" s="251">
        <f t="shared" si="4"/>
        <v>-5.5048588641665841</v>
      </c>
      <c r="J39" s="250"/>
      <c r="O39" s="18"/>
      <c r="P39" s="18"/>
      <c r="Q39" s="18"/>
      <c r="R39" s="18"/>
      <c r="S39" s="18"/>
    </row>
    <row r="40" spans="1:19" x14ac:dyDescent="0.25">
      <c r="A40" s="21" t="s">
        <v>915</v>
      </c>
      <c r="B40" s="46">
        <v>12.271932639999998</v>
      </c>
      <c r="C40" s="252">
        <f t="shared" si="5"/>
        <v>0.40096743341180341</v>
      </c>
      <c r="D40" s="46"/>
      <c r="E40" s="252">
        <f t="shared" si="6"/>
        <v>0</v>
      </c>
      <c r="F40" s="46">
        <v>1.37638807</v>
      </c>
      <c r="G40" s="252">
        <f t="shared" si="7"/>
        <v>5.5007563151067307E-2</v>
      </c>
      <c r="H40" s="252" t="s">
        <v>240</v>
      </c>
      <c r="I40" s="251">
        <f t="shared" si="4"/>
        <v>-88.784259901217965</v>
      </c>
      <c r="J40" s="250"/>
      <c r="O40" s="18"/>
      <c r="P40" s="18"/>
      <c r="Q40" s="18"/>
      <c r="R40" s="18"/>
      <c r="S40" s="18"/>
    </row>
    <row r="41" spans="1:19" x14ac:dyDescent="0.25">
      <c r="A41" s="21" t="s">
        <v>912</v>
      </c>
      <c r="B41" s="46">
        <v>5.7219721200000002</v>
      </c>
      <c r="C41" s="252">
        <f t="shared" si="5"/>
        <v>0.18695706229123304</v>
      </c>
      <c r="D41" s="46">
        <v>0.17235749</v>
      </c>
      <c r="E41" s="252">
        <f t="shared" si="6"/>
        <v>7.7646000610978316E-3</v>
      </c>
      <c r="F41" s="46">
        <v>1.30247917</v>
      </c>
      <c r="G41" s="252">
        <f t="shared" si="7"/>
        <v>5.2053782474825394E-2</v>
      </c>
      <c r="H41" s="252">
        <f t="shared" si="3"/>
        <v>655.68469348213409</v>
      </c>
      <c r="I41" s="251">
        <f t="shared" si="4"/>
        <v>-77.23723320063992</v>
      </c>
      <c r="J41" s="250"/>
      <c r="O41" s="18"/>
      <c r="P41" s="18"/>
      <c r="Q41" s="18"/>
      <c r="R41" s="18"/>
      <c r="S41" s="18"/>
    </row>
    <row r="42" spans="1:19" x14ac:dyDescent="0.25">
      <c r="A42" s="21" t="s">
        <v>928</v>
      </c>
      <c r="B42" s="46">
        <v>3.8815822300000002</v>
      </c>
      <c r="C42" s="252">
        <f t="shared" si="5"/>
        <v>0.12682501688992032</v>
      </c>
      <c r="D42" s="46"/>
      <c r="E42" s="252">
        <f t="shared" si="6"/>
        <v>0</v>
      </c>
      <c r="F42" s="46">
        <v>1.2333361199999999</v>
      </c>
      <c r="G42" s="252">
        <f t="shared" si="7"/>
        <v>4.9290469734594784E-2</v>
      </c>
      <c r="H42" s="252" t="s">
        <v>240</v>
      </c>
      <c r="I42" s="251">
        <f t="shared" si="4"/>
        <v>-68.22594377963236</v>
      </c>
      <c r="J42" s="250"/>
      <c r="O42" s="18"/>
      <c r="P42" s="18"/>
      <c r="Q42" s="18"/>
      <c r="R42" s="18"/>
      <c r="S42" s="18"/>
    </row>
    <row r="43" spans="1:19" x14ac:dyDescent="0.25">
      <c r="A43" s="21" t="s">
        <v>940</v>
      </c>
      <c r="B43" s="46">
        <v>0.35545664000000005</v>
      </c>
      <c r="C43" s="252">
        <f t="shared" si="5"/>
        <v>1.1614025338227687E-2</v>
      </c>
      <c r="D43" s="46">
        <v>4.3021099999999996E-3</v>
      </c>
      <c r="E43" s="252">
        <f t="shared" si="6"/>
        <v>1.9380743806868847E-4</v>
      </c>
      <c r="F43" s="46">
        <v>1.03886711</v>
      </c>
      <c r="G43" s="252">
        <f t="shared" si="7"/>
        <v>4.1518485523411863E-2</v>
      </c>
      <c r="H43" s="252">
        <f t="shared" si="3"/>
        <v>24047.85093826053</v>
      </c>
      <c r="I43" s="251">
        <f t="shared" si="4"/>
        <v>192.26268216567846</v>
      </c>
      <c r="J43" s="250"/>
      <c r="O43" s="18"/>
      <c r="P43" s="18"/>
      <c r="Q43" s="18"/>
      <c r="R43" s="18"/>
      <c r="S43" s="18"/>
    </row>
    <row r="44" spans="1:19" x14ac:dyDescent="0.25">
      <c r="A44" s="21" t="s">
        <v>829</v>
      </c>
      <c r="B44" s="46">
        <v>5.3762129999999998E-2</v>
      </c>
      <c r="C44" s="252">
        <f t="shared" si="5"/>
        <v>1.7565988922223844E-3</v>
      </c>
      <c r="D44" s="46"/>
      <c r="E44" s="252">
        <f t="shared" si="6"/>
        <v>0</v>
      </c>
      <c r="F44" s="46">
        <v>1.0108846300000001</v>
      </c>
      <c r="G44" s="252">
        <f t="shared" si="7"/>
        <v>4.0400161360864099E-2</v>
      </c>
      <c r="H44" s="252" t="s">
        <v>240</v>
      </c>
      <c r="I44" s="251">
        <f t="shared" si="4"/>
        <v>1780.2912570614301</v>
      </c>
      <c r="J44" s="250"/>
      <c r="O44" s="18"/>
      <c r="P44" s="18"/>
      <c r="Q44" s="18"/>
      <c r="R44" s="18"/>
      <c r="S44" s="18"/>
    </row>
    <row r="45" spans="1:19" x14ac:dyDescent="0.25">
      <c r="A45" s="21" t="s">
        <v>918</v>
      </c>
      <c r="B45" s="46">
        <v>8.7118225900000006</v>
      </c>
      <c r="C45" s="252">
        <f t="shared" si="5"/>
        <v>0.28464604938145016</v>
      </c>
      <c r="D45" s="46">
        <v>7.3417209999999997E-2</v>
      </c>
      <c r="E45" s="252">
        <f t="shared" si="6"/>
        <v>3.3074006429986442E-3</v>
      </c>
      <c r="F45" s="46">
        <v>0.92949753999999996</v>
      </c>
      <c r="G45" s="252">
        <f t="shared" si="7"/>
        <v>3.7147513658928842E-2</v>
      </c>
      <c r="H45" s="252">
        <f t="shared" si="3"/>
        <v>1166.0485736246312</v>
      </c>
      <c r="I45" s="251">
        <f t="shared" si="4"/>
        <v>-89.330619047879395</v>
      </c>
      <c r="J45" s="250"/>
      <c r="O45" s="18"/>
      <c r="P45" s="18"/>
      <c r="Q45" s="18"/>
      <c r="R45" s="18"/>
      <c r="S45" s="18"/>
    </row>
    <row r="46" spans="1:19" x14ac:dyDescent="0.25">
      <c r="A46" s="21" t="s">
        <v>969</v>
      </c>
      <c r="B46" s="46">
        <v>0.86025966000000009</v>
      </c>
      <c r="C46" s="252">
        <f t="shared" si="5"/>
        <v>2.8107725006051756E-2</v>
      </c>
      <c r="D46" s="46">
        <v>0.89945326999999997</v>
      </c>
      <c r="E46" s="252">
        <f t="shared" si="6"/>
        <v>4.0519822580362741E-2</v>
      </c>
      <c r="F46" s="46">
        <v>0.46479574000000012</v>
      </c>
      <c r="G46" s="252">
        <f t="shared" si="7"/>
        <v>1.8575633992815026E-2</v>
      </c>
      <c r="H46" s="252">
        <f t="shared" si="3"/>
        <v>-48.324637254362287</v>
      </c>
      <c r="I46" s="251">
        <f t="shared" si="4"/>
        <v>-45.970296921745692</v>
      </c>
      <c r="J46" s="250"/>
      <c r="O46" s="18"/>
      <c r="P46" s="18"/>
      <c r="Q46" s="18"/>
      <c r="R46" s="18"/>
      <c r="S46" s="18"/>
    </row>
    <row r="47" spans="1:19" x14ac:dyDescent="0.25">
      <c r="A47" s="21" t="s">
        <v>971</v>
      </c>
      <c r="B47" s="46">
        <v>2.1812685999999997</v>
      </c>
      <c r="C47" s="252">
        <f t="shared" si="5"/>
        <v>7.1269758218275039E-2</v>
      </c>
      <c r="D47" s="46">
        <v>4.9013169999999995E-2</v>
      </c>
      <c r="E47" s="252">
        <f t="shared" si="6"/>
        <v>2.2080134885730722E-3</v>
      </c>
      <c r="F47" s="46">
        <v>0.42914066000000001</v>
      </c>
      <c r="G47" s="252">
        <f t="shared" si="7"/>
        <v>1.7150673178706576E-2</v>
      </c>
      <c r="H47" s="252">
        <f t="shared" si="3"/>
        <v>775.56193570013954</v>
      </c>
      <c r="I47" s="251">
        <f t="shared" si="4"/>
        <v>-80.32609739121537</v>
      </c>
      <c r="J47" s="250"/>
      <c r="O47" s="18"/>
      <c r="P47" s="18"/>
      <c r="Q47" s="18"/>
      <c r="R47" s="18"/>
      <c r="S47" s="18"/>
    </row>
    <row r="48" spans="1:19" x14ac:dyDescent="0.25">
      <c r="A48" s="21" t="s">
        <v>968</v>
      </c>
      <c r="B48" s="46">
        <v>4.1324736699999995</v>
      </c>
      <c r="C48" s="252">
        <f t="shared" si="5"/>
        <v>0.13502252739726217</v>
      </c>
      <c r="D48" s="46">
        <v>7.7986280000000005E-2</v>
      </c>
      <c r="E48" s="252">
        <f t="shared" si="6"/>
        <v>3.5132344666471567E-3</v>
      </c>
      <c r="F48" s="46">
        <v>0.33523711</v>
      </c>
      <c r="G48" s="252">
        <f t="shared" si="7"/>
        <v>1.3397803207424125E-2</v>
      </c>
      <c r="H48" s="252">
        <f t="shared" si="3"/>
        <v>329.86677913089324</v>
      </c>
      <c r="I48" s="251">
        <f t="shared" si="4"/>
        <v>-91.887737544858936</v>
      </c>
      <c r="J48" s="250"/>
      <c r="O48" s="18"/>
      <c r="P48" s="18"/>
      <c r="Q48" s="18"/>
      <c r="R48" s="18"/>
      <c r="S48" s="18"/>
    </row>
    <row r="49" spans="1:19" x14ac:dyDescent="0.25">
      <c r="A49" s="21" t="s">
        <v>908</v>
      </c>
      <c r="B49" s="46">
        <v>0.31674244000000001</v>
      </c>
      <c r="C49" s="252">
        <f t="shared" si="5"/>
        <v>1.0349095529210154E-2</v>
      </c>
      <c r="D49" s="46">
        <v>0.12221855000000001</v>
      </c>
      <c r="E49" s="252">
        <f t="shared" si="6"/>
        <v>5.5058713189504466E-3</v>
      </c>
      <c r="F49" s="46">
        <v>0.30815621999999998</v>
      </c>
      <c r="G49" s="252">
        <f t="shared" si="7"/>
        <v>1.2315511229361493E-2</v>
      </c>
      <c r="H49" s="252">
        <f t="shared" si="3"/>
        <v>152.13539188609255</v>
      </c>
      <c r="I49" s="251">
        <f t="shared" si="4"/>
        <v>-2.710789245672296</v>
      </c>
      <c r="J49" s="250"/>
      <c r="O49" s="18"/>
      <c r="P49" s="18"/>
      <c r="Q49" s="18"/>
      <c r="R49" s="18"/>
      <c r="S49" s="18"/>
    </row>
    <row r="50" spans="1:19" x14ac:dyDescent="0.25">
      <c r="A50" s="21" t="s">
        <v>906</v>
      </c>
      <c r="B50" s="46">
        <v>0.33775327999999999</v>
      </c>
      <c r="C50" s="252">
        <f t="shared" si="5"/>
        <v>1.1035593967212176E-2</v>
      </c>
      <c r="D50" s="46"/>
      <c r="E50" s="252">
        <f t="shared" si="6"/>
        <v>0</v>
      </c>
      <c r="F50" s="46">
        <v>0.28353617999999997</v>
      </c>
      <c r="G50" s="252">
        <f t="shared" si="7"/>
        <v>1.1331567504041492E-2</v>
      </c>
      <c r="H50" s="252" t="s">
        <v>240</v>
      </c>
      <c r="I50" s="251">
        <f t="shared" si="4"/>
        <v>-16.052279344259812</v>
      </c>
      <c r="J50" s="250"/>
      <c r="O50" s="18"/>
      <c r="P50" s="18"/>
      <c r="Q50" s="18"/>
      <c r="R50" s="18"/>
      <c r="S50" s="18"/>
    </row>
    <row r="51" spans="1:19" x14ac:dyDescent="0.25">
      <c r="A51" s="21" t="s">
        <v>881</v>
      </c>
      <c r="B51" s="46">
        <v>1.0123861600000001</v>
      </c>
      <c r="C51" s="252">
        <f t="shared" si="5"/>
        <v>3.3078235686667803E-2</v>
      </c>
      <c r="D51" s="46">
        <v>0.46324236000000008</v>
      </c>
      <c r="E51" s="252">
        <f t="shared" si="6"/>
        <v>2.0868786478377612E-2</v>
      </c>
      <c r="F51" s="46">
        <v>0.21204247000000001</v>
      </c>
      <c r="G51" s="252">
        <f t="shared" si="7"/>
        <v>8.4743102715452157E-3</v>
      </c>
      <c r="H51" s="252">
        <f t="shared" si="3"/>
        <v>-54.22645070714173</v>
      </c>
      <c r="I51" s="251">
        <f t="shared" si="4"/>
        <v>-79.055178905250926</v>
      </c>
      <c r="J51" s="250"/>
      <c r="O51" s="18"/>
      <c r="P51" s="18"/>
      <c r="Q51" s="18"/>
      <c r="R51" s="18"/>
      <c r="S51" s="18"/>
    </row>
    <row r="52" spans="1:19" x14ac:dyDescent="0.25">
      <c r="A52" s="21" t="s">
        <v>927</v>
      </c>
      <c r="B52" s="46">
        <v>12.76912632</v>
      </c>
      <c r="C52" s="252">
        <f t="shared" si="5"/>
        <v>0.41721250903488555</v>
      </c>
      <c r="D52" s="46">
        <v>4.6958999999999994E-3</v>
      </c>
      <c r="E52" s="252">
        <f t="shared" si="6"/>
        <v>2.1154743798432724E-4</v>
      </c>
      <c r="F52" s="46">
        <v>0.13803474000000002</v>
      </c>
      <c r="G52" s="252">
        <f t="shared" si="7"/>
        <v>5.5165798389920353E-3</v>
      </c>
      <c r="H52" s="252">
        <f t="shared" si="3"/>
        <v>2839.473583338658</v>
      </c>
      <c r="I52" s="251">
        <f t="shared" si="4"/>
        <v>-98.91899620584222</v>
      </c>
      <c r="J52" s="250"/>
      <c r="O52" s="18"/>
      <c r="P52" s="18"/>
      <c r="Q52" s="18"/>
      <c r="R52" s="18"/>
      <c r="S52" s="18"/>
    </row>
    <row r="53" spans="1:19" x14ac:dyDescent="0.25">
      <c r="A53" s="21" t="s">
        <v>945</v>
      </c>
      <c r="B53" s="46">
        <v>7.27332818</v>
      </c>
      <c r="C53" s="252">
        <f t="shared" si="5"/>
        <v>0.23764535043083024</v>
      </c>
      <c r="D53" s="46"/>
      <c r="E53" s="252">
        <f t="shared" si="6"/>
        <v>0</v>
      </c>
      <c r="F53" s="46">
        <v>0.10201300000000001</v>
      </c>
      <c r="G53" s="252">
        <f t="shared" si="7"/>
        <v>4.076965400993217E-3</v>
      </c>
      <c r="H53" s="252" t="s">
        <v>240</v>
      </c>
      <c r="I53" s="251">
        <f t="shared" si="4"/>
        <v>-98.597437136405958</v>
      </c>
      <c r="J53" s="250"/>
      <c r="O53" s="18"/>
      <c r="P53" s="18"/>
      <c r="Q53" s="18"/>
      <c r="R53" s="18"/>
      <c r="S53" s="18"/>
    </row>
    <row r="54" spans="1:19" x14ac:dyDescent="0.25">
      <c r="A54" s="21" t="s">
        <v>905</v>
      </c>
      <c r="B54" s="46">
        <v>1.7676581099999997</v>
      </c>
      <c r="C54" s="252">
        <f t="shared" si="5"/>
        <v>5.7755640966120819E-2</v>
      </c>
      <c r="D54" s="46"/>
      <c r="E54" s="252">
        <f t="shared" si="6"/>
        <v>0</v>
      </c>
      <c r="F54" s="46">
        <v>0.10096366999999999</v>
      </c>
      <c r="G54" s="252">
        <f t="shared" si="7"/>
        <v>4.0350287644446963E-3</v>
      </c>
      <c r="H54" s="252" t="s">
        <v>240</v>
      </c>
      <c r="I54" s="251">
        <f t="shared" si="4"/>
        <v>-94.288280667577737</v>
      </c>
      <c r="J54" s="250"/>
      <c r="O54" s="18"/>
      <c r="P54" s="18"/>
      <c r="Q54" s="18"/>
      <c r="R54" s="18"/>
      <c r="S54" s="18"/>
    </row>
    <row r="55" spans="1:19" x14ac:dyDescent="0.25">
      <c r="A55" s="21" t="s">
        <v>766</v>
      </c>
      <c r="B55" s="46"/>
      <c r="C55" s="252">
        <f t="shared" si="5"/>
        <v>0</v>
      </c>
      <c r="D55" s="46"/>
      <c r="E55" s="252">
        <f t="shared" si="6"/>
        <v>0</v>
      </c>
      <c r="F55" s="46">
        <v>9.1063140000000001E-2</v>
      </c>
      <c r="G55" s="252">
        <f t="shared" si="7"/>
        <v>3.6393525441443877E-3</v>
      </c>
      <c r="H55" s="252" t="s">
        <v>240</v>
      </c>
      <c r="I55" s="251" t="s">
        <v>240</v>
      </c>
      <c r="J55" s="250"/>
      <c r="O55" s="18"/>
      <c r="P55" s="18"/>
      <c r="Q55" s="18"/>
      <c r="R55" s="18"/>
      <c r="S55" s="18"/>
    </row>
    <row r="56" spans="1:19" x14ac:dyDescent="0.25">
      <c r="A56" s="21" t="s">
        <v>910</v>
      </c>
      <c r="B56" s="46">
        <v>12.289735570000001</v>
      </c>
      <c r="C56" s="252">
        <f t="shared" si="5"/>
        <v>0.40154911808680266</v>
      </c>
      <c r="D56" s="46">
        <v>0.62149722000000007</v>
      </c>
      <c r="E56" s="252">
        <f t="shared" si="6"/>
        <v>2.799807163810597E-2</v>
      </c>
      <c r="F56" s="46">
        <v>8.5745020000000005E-2</v>
      </c>
      <c r="G56" s="252">
        <f t="shared" si="7"/>
        <v>3.4268130517431253E-3</v>
      </c>
      <c r="H56" s="252">
        <f t="shared" si="3"/>
        <v>-86.203474892454068</v>
      </c>
      <c r="I56" s="251">
        <f t="shared" si="4"/>
        <v>-99.302303784230233</v>
      </c>
      <c r="J56" s="250"/>
      <c r="O56" s="18"/>
      <c r="P56" s="18"/>
      <c r="Q56" s="18"/>
      <c r="R56" s="18"/>
      <c r="S56" s="18"/>
    </row>
    <row r="57" spans="1:19" x14ac:dyDescent="0.25">
      <c r="A57" s="21" t="s">
        <v>934</v>
      </c>
      <c r="B57" s="46">
        <v>10.74396956</v>
      </c>
      <c r="C57" s="252">
        <f t="shared" si="5"/>
        <v>0.35104347664735414</v>
      </c>
      <c r="D57" s="46">
        <v>1.18462366</v>
      </c>
      <c r="E57" s="252">
        <f t="shared" si="6"/>
        <v>5.3366575150368786E-2</v>
      </c>
      <c r="F57" s="46">
        <v>7.7680079999999999E-2</v>
      </c>
      <c r="G57" s="252">
        <f t="shared" si="7"/>
        <v>3.1044964711005969E-3</v>
      </c>
      <c r="H57" s="252">
        <f t="shared" si="3"/>
        <v>-93.442636457218825</v>
      </c>
      <c r="I57" s="251">
        <f t="shared" si="4"/>
        <v>-99.276989016338945</v>
      </c>
      <c r="J57" s="250"/>
      <c r="O57" s="18"/>
      <c r="P57" s="18"/>
      <c r="Q57" s="18"/>
      <c r="R57" s="18"/>
      <c r="S57" s="18"/>
    </row>
    <row r="58" spans="1:19" x14ac:dyDescent="0.25">
      <c r="A58" s="21" t="s">
        <v>826</v>
      </c>
      <c r="B58" s="46">
        <v>0.63715256000000009</v>
      </c>
      <c r="C58" s="252">
        <f t="shared" si="5"/>
        <v>2.081802713308897E-2</v>
      </c>
      <c r="D58" s="46">
        <v>1.9400610000000002E-2</v>
      </c>
      <c r="E58" s="252">
        <f t="shared" si="6"/>
        <v>8.7398567704446864E-4</v>
      </c>
      <c r="F58" s="46">
        <v>7.5133509999999987E-2</v>
      </c>
      <c r="G58" s="252">
        <f t="shared" si="7"/>
        <v>3.0027224052344092E-3</v>
      </c>
      <c r="H58" s="252">
        <f t="shared" si="3"/>
        <v>287.2739568498103</v>
      </c>
      <c r="I58" s="251">
        <f t="shared" si="4"/>
        <v>-88.207924645237242</v>
      </c>
      <c r="J58" s="250"/>
      <c r="O58" s="18"/>
      <c r="P58" s="18"/>
      <c r="Q58" s="18"/>
      <c r="R58" s="18"/>
      <c r="S58" s="18"/>
    </row>
    <row r="59" spans="1:19" x14ac:dyDescent="0.25">
      <c r="A59" s="21" t="s">
        <v>879</v>
      </c>
      <c r="B59" s="46"/>
      <c r="C59" s="252">
        <f t="shared" si="5"/>
        <v>0</v>
      </c>
      <c r="D59" s="46"/>
      <c r="E59" s="252">
        <f t="shared" si="6"/>
        <v>0</v>
      </c>
      <c r="F59" s="46">
        <v>7.1337960000000006E-2</v>
      </c>
      <c r="G59" s="252">
        <f t="shared" si="7"/>
        <v>2.8510326595378834E-3</v>
      </c>
      <c r="H59" s="252" t="s">
        <v>240</v>
      </c>
      <c r="I59" s="251" t="s">
        <v>240</v>
      </c>
      <c r="J59" s="250"/>
      <c r="O59" s="18"/>
      <c r="P59" s="18"/>
      <c r="Q59" s="18"/>
      <c r="R59" s="18"/>
      <c r="S59" s="18"/>
    </row>
    <row r="60" spans="1:19" x14ac:dyDescent="0.25">
      <c r="A60" s="21" t="s">
        <v>907</v>
      </c>
      <c r="B60" s="46">
        <v>7.7625899999999998E-3</v>
      </c>
      <c r="C60" s="252">
        <f t="shared" si="5"/>
        <v>2.5363126414032624E-4</v>
      </c>
      <c r="D60" s="46">
        <v>6.8027660000000004E-2</v>
      </c>
      <c r="E60" s="252">
        <f t="shared" si="6"/>
        <v>3.0646046945354251E-3</v>
      </c>
      <c r="F60" s="46">
        <v>7.0345539999999998E-2</v>
      </c>
      <c r="G60" s="252">
        <f t="shared" si="7"/>
        <v>2.8113704399849466E-3</v>
      </c>
      <c r="H60" s="252">
        <f t="shared" si="3"/>
        <v>3.4072611052621715</v>
      </c>
      <c r="I60" s="251">
        <f t="shared" si="4"/>
        <v>806.21223071165673</v>
      </c>
      <c r="J60" s="250"/>
      <c r="O60" s="18"/>
      <c r="P60" s="18"/>
      <c r="Q60" s="18"/>
      <c r="R60" s="18"/>
      <c r="S60" s="18"/>
    </row>
    <row r="61" spans="1:19" x14ac:dyDescent="0.25">
      <c r="A61" s="21" t="s">
        <v>880</v>
      </c>
      <c r="B61" s="46">
        <v>4.7424040000000001E-2</v>
      </c>
      <c r="C61" s="252">
        <f t="shared" si="5"/>
        <v>1.5495110801731636E-3</v>
      </c>
      <c r="D61" s="46">
        <v>4.8214299999999998E-3</v>
      </c>
      <c r="E61" s="252">
        <f t="shared" si="6"/>
        <v>2.1720248811107031E-4</v>
      </c>
      <c r="F61" s="46">
        <v>6.5275539999999993E-2</v>
      </c>
      <c r="G61" s="252">
        <f t="shared" si="7"/>
        <v>2.6087471019492488E-3</v>
      </c>
      <c r="H61" s="252">
        <f t="shared" si="3"/>
        <v>1253.8626507073627</v>
      </c>
      <c r="I61" s="251">
        <f t="shared" si="4"/>
        <v>37.642301246372071</v>
      </c>
      <c r="J61" s="250"/>
      <c r="O61" s="18"/>
      <c r="P61" s="18"/>
      <c r="Q61" s="18"/>
      <c r="R61" s="18"/>
      <c r="S61" s="18"/>
    </row>
    <row r="62" spans="1:19" x14ac:dyDescent="0.25">
      <c r="A62" s="21" t="s">
        <v>749</v>
      </c>
      <c r="B62" s="46">
        <v>0.56847263000000003</v>
      </c>
      <c r="C62" s="252">
        <f t="shared" si="5"/>
        <v>1.8574010964906813E-2</v>
      </c>
      <c r="D62" s="46">
        <v>9.2250440000000003E-2</v>
      </c>
      <c r="E62" s="252">
        <f t="shared" si="6"/>
        <v>4.1558261962407429E-3</v>
      </c>
      <c r="F62" s="46">
        <v>6.2953049999999997E-2</v>
      </c>
      <c r="G62" s="252">
        <f t="shared" si="7"/>
        <v>2.5159284281120642E-3</v>
      </c>
      <c r="H62" s="252">
        <f t="shared" si="3"/>
        <v>-31.758536869851252</v>
      </c>
      <c r="I62" s="251">
        <f t="shared" si="4"/>
        <v>-88.925931227331034</v>
      </c>
      <c r="J62" s="250"/>
      <c r="O62" s="18"/>
      <c r="P62" s="18"/>
      <c r="Q62" s="18"/>
      <c r="R62" s="18"/>
      <c r="S62" s="18"/>
    </row>
    <row r="63" spans="1:19" x14ac:dyDescent="0.25">
      <c r="A63" s="21" t="s">
        <v>963</v>
      </c>
      <c r="B63" s="46">
        <v>0.27541076000000003</v>
      </c>
      <c r="C63" s="252">
        <f t="shared" si="5"/>
        <v>8.9986433930747348E-3</v>
      </c>
      <c r="D63" s="46"/>
      <c r="E63" s="252">
        <f t="shared" si="6"/>
        <v>0</v>
      </c>
      <c r="F63" s="46">
        <v>6.1377939999999999E-2</v>
      </c>
      <c r="G63" s="252">
        <f t="shared" si="7"/>
        <v>2.452978912140978E-3</v>
      </c>
      <c r="H63" s="252" t="s">
        <v>240</v>
      </c>
      <c r="I63" s="251">
        <f t="shared" si="4"/>
        <v>-77.714037026004362</v>
      </c>
      <c r="J63" s="250"/>
      <c r="O63" s="18"/>
      <c r="P63" s="18"/>
      <c r="Q63" s="18"/>
      <c r="R63" s="18"/>
      <c r="S63" s="18"/>
    </row>
    <row r="64" spans="1:19" x14ac:dyDescent="0.25">
      <c r="A64" s="21" t="s">
        <v>914</v>
      </c>
      <c r="B64" s="46">
        <v>505.89855799999992</v>
      </c>
      <c r="C64" s="252">
        <f t="shared" si="5"/>
        <v>16.529494768151885</v>
      </c>
      <c r="D64" s="46"/>
      <c r="E64" s="252">
        <f t="shared" si="6"/>
        <v>0</v>
      </c>
      <c r="F64" s="46">
        <v>6.0087370000000001E-2</v>
      </c>
      <c r="G64" s="252">
        <f t="shared" si="7"/>
        <v>2.4014010814962581E-3</v>
      </c>
      <c r="H64" s="252" t="s">
        <v>240</v>
      </c>
      <c r="I64" s="251">
        <f t="shared" si="4"/>
        <v>-99.988122644540141</v>
      </c>
      <c r="J64" s="250"/>
      <c r="O64" s="18"/>
      <c r="P64" s="18"/>
      <c r="Q64" s="18"/>
      <c r="R64" s="18"/>
      <c r="S64" s="18"/>
    </row>
    <row r="65" spans="1:19" x14ac:dyDescent="0.25">
      <c r="A65" s="21" t="s">
        <v>904</v>
      </c>
      <c r="B65" s="46">
        <v>9.5579100000000011E-3</v>
      </c>
      <c r="C65" s="252">
        <f t="shared" si="5"/>
        <v>3.1229071686633794E-4</v>
      </c>
      <c r="D65" s="46">
        <v>6.4771119999999988E-2</v>
      </c>
      <c r="E65" s="252">
        <f t="shared" si="6"/>
        <v>2.9178995488352432E-3</v>
      </c>
      <c r="F65" s="46">
        <v>5.7761550000000002E-2</v>
      </c>
      <c r="G65" s="252">
        <f t="shared" si="7"/>
        <v>2.3084493236914879E-3</v>
      </c>
      <c r="H65" s="252">
        <f t="shared" si="3"/>
        <v>-10.822060819698631</v>
      </c>
      <c r="I65" s="251">
        <f t="shared" si="4"/>
        <v>504.33243250878064</v>
      </c>
      <c r="J65" s="250"/>
      <c r="O65" s="18"/>
      <c r="P65" s="18"/>
      <c r="Q65" s="18"/>
      <c r="R65" s="18"/>
      <c r="S65" s="18"/>
    </row>
    <row r="66" spans="1:19" x14ac:dyDescent="0.25">
      <c r="A66" s="21" t="s">
        <v>861</v>
      </c>
      <c r="B66" s="46">
        <v>3.07044E-2</v>
      </c>
      <c r="C66" s="252">
        <f t="shared" si="5"/>
        <v>1.0032213200323904E-3</v>
      </c>
      <c r="D66" s="46"/>
      <c r="E66" s="252">
        <f t="shared" si="6"/>
        <v>0</v>
      </c>
      <c r="F66" s="46">
        <v>5.2959710000000007E-2</v>
      </c>
      <c r="G66" s="252">
        <f t="shared" si="7"/>
        <v>2.1165430417361955E-3</v>
      </c>
      <c r="H66" s="252" t="s">
        <v>240</v>
      </c>
      <c r="I66" s="251">
        <f t="shared" si="4"/>
        <v>72.482478081317353</v>
      </c>
      <c r="J66" s="250"/>
      <c r="O66" s="18"/>
      <c r="P66" s="18"/>
      <c r="Q66" s="18"/>
      <c r="R66" s="18"/>
      <c r="S66" s="18"/>
    </row>
    <row r="67" spans="1:19" x14ac:dyDescent="0.25">
      <c r="A67" s="21" t="s">
        <v>859</v>
      </c>
      <c r="B67" s="46"/>
      <c r="C67" s="252">
        <f t="shared" si="5"/>
        <v>0</v>
      </c>
      <c r="D67" s="46"/>
      <c r="E67" s="252">
        <f t="shared" si="6"/>
        <v>0</v>
      </c>
      <c r="F67" s="46">
        <v>4.9542209999999996E-2</v>
      </c>
      <c r="G67" s="252">
        <f t="shared" si="7"/>
        <v>1.9799621230503972E-3</v>
      </c>
      <c r="H67" s="252" t="s">
        <v>240</v>
      </c>
      <c r="I67" s="251" t="s">
        <v>240</v>
      </c>
      <c r="J67" s="250"/>
      <c r="O67" s="18"/>
      <c r="P67" s="18"/>
      <c r="Q67" s="18"/>
      <c r="R67" s="18"/>
      <c r="S67" s="18"/>
    </row>
    <row r="68" spans="1:19" x14ac:dyDescent="0.25">
      <c r="A68" s="21" t="s">
        <v>955</v>
      </c>
      <c r="B68" s="46">
        <v>2.1829370200000002</v>
      </c>
      <c r="C68" s="252">
        <f t="shared" ref="C68:C99" si="8">(B68/$B$160)*100</f>
        <v>7.1324271399277397E-2</v>
      </c>
      <c r="D68" s="46">
        <v>2.0652460000000001E-2</v>
      </c>
      <c r="E68" s="252">
        <f t="shared" ref="E68:E99" si="9">(D68/$D$160)*100</f>
        <v>9.3038075791090089E-4</v>
      </c>
      <c r="F68" s="46">
        <v>4.672142E-2</v>
      </c>
      <c r="G68" s="252">
        <f t="shared" ref="G68:G99" si="10">(F68/$F$160)*100</f>
        <v>1.867228812261893E-3</v>
      </c>
      <c r="H68" s="252">
        <f t="shared" si="3"/>
        <v>126.22689984631367</v>
      </c>
      <c r="I68" s="251">
        <f t="shared" si="4"/>
        <v>-97.859699131402337</v>
      </c>
      <c r="J68" s="250"/>
      <c r="O68" s="18"/>
      <c r="P68" s="18"/>
      <c r="Q68" s="18"/>
      <c r="R68" s="18"/>
      <c r="S68" s="18"/>
    </row>
    <row r="69" spans="1:19" x14ac:dyDescent="0.25">
      <c r="A69" s="21" t="s">
        <v>953</v>
      </c>
      <c r="B69" s="46">
        <v>1.7266904899999997</v>
      </c>
      <c r="C69" s="252">
        <f t="shared" si="8"/>
        <v>5.641708395751667E-2</v>
      </c>
      <c r="D69" s="46">
        <v>0.36213833000000006</v>
      </c>
      <c r="E69" s="252">
        <f t="shared" si="9"/>
        <v>1.63141114392178E-2</v>
      </c>
      <c r="F69" s="46">
        <v>4.6440989999999994E-2</v>
      </c>
      <c r="G69" s="252">
        <f t="shared" si="10"/>
        <v>1.8560213837243483E-3</v>
      </c>
      <c r="H69" s="252">
        <f t="shared" ref="H69:H132" si="11">((F69/D69)-1)*100</f>
        <v>-87.175897674239565</v>
      </c>
      <c r="I69" s="251">
        <f t="shared" ref="I69:I132" si="12">((F69/B69)-1)*100</f>
        <v>-97.310404483666318</v>
      </c>
      <c r="J69" s="250"/>
      <c r="O69" s="18"/>
      <c r="P69" s="18"/>
      <c r="Q69" s="18"/>
      <c r="R69" s="18"/>
      <c r="S69" s="18"/>
    </row>
    <row r="70" spans="1:19" x14ac:dyDescent="0.25">
      <c r="A70" s="21" t="s">
        <v>875</v>
      </c>
      <c r="B70" s="46"/>
      <c r="C70" s="252">
        <f t="shared" si="8"/>
        <v>0</v>
      </c>
      <c r="D70" s="46">
        <v>7.5717200000000005E-3</v>
      </c>
      <c r="E70" s="252">
        <f t="shared" si="9"/>
        <v>3.4110137931699796E-4</v>
      </c>
      <c r="F70" s="46">
        <v>4.2672300000000003E-2</v>
      </c>
      <c r="G70" s="252">
        <f t="shared" si="10"/>
        <v>1.7054051021027012E-3</v>
      </c>
      <c r="H70" s="252">
        <f t="shared" si="11"/>
        <v>463.57472278425513</v>
      </c>
      <c r="I70" s="251" t="s">
        <v>240</v>
      </c>
      <c r="J70" s="250"/>
      <c r="O70" s="18"/>
      <c r="P70" s="18"/>
      <c r="Q70" s="18"/>
      <c r="R70" s="18"/>
      <c r="S70" s="18"/>
    </row>
    <row r="71" spans="1:19" x14ac:dyDescent="0.25">
      <c r="A71" s="21" t="s">
        <v>851</v>
      </c>
      <c r="B71" s="46">
        <v>3.5381219999999998E-2</v>
      </c>
      <c r="C71" s="252">
        <f t="shared" si="8"/>
        <v>1.1560295668619615E-3</v>
      </c>
      <c r="D71" s="46">
        <v>3.6052009999999995E-2</v>
      </c>
      <c r="E71" s="252">
        <f t="shared" si="9"/>
        <v>1.6241211162259302E-3</v>
      </c>
      <c r="F71" s="46">
        <v>4.2178890000000004E-2</v>
      </c>
      <c r="G71" s="252">
        <f t="shared" si="10"/>
        <v>1.6856858947614402E-3</v>
      </c>
      <c r="H71" s="252">
        <f t="shared" si="11"/>
        <v>16.994558694508321</v>
      </c>
      <c r="I71" s="251">
        <f t="shared" si="12"/>
        <v>19.212650100816209</v>
      </c>
      <c r="J71" s="250"/>
      <c r="O71" s="18"/>
      <c r="P71" s="18"/>
      <c r="Q71" s="18"/>
      <c r="R71" s="18"/>
      <c r="S71" s="18"/>
    </row>
    <row r="72" spans="1:19" x14ac:dyDescent="0.25">
      <c r="A72" s="21" t="s">
        <v>921</v>
      </c>
      <c r="B72" s="46">
        <v>7.1523650000000008E-2</v>
      </c>
      <c r="C72" s="252">
        <f t="shared" si="8"/>
        <v>2.3369305560940676E-3</v>
      </c>
      <c r="D72" s="46">
        <v>8.1525599999999997E-3</v>
      </c>
      <c r="E72" s="252">
        <f t="shared" si="9"/>
        <v>3.6726786793021723E-4</v>
      </c>
      <c r="F72" s="46">
        <v>3.7933000000000001E-2</v>
      </c>
      <c r="G72" s="252">
        <f t="shared" si="10"/>
        <v>1.5159982409680697E-3</v>
      </c>
      <c r="H72" s="252">
        <f t="shared" si="11"/>
        <v>365.28943055923537</v>
      </c>
      <c r="I72" s="251">
        <f t="shared" si="12"/>
        <v>-46.964395692893191</v>
      </c>
      <c r="J72" s="250"/>
      <c r="O72" s="18"/>
      <c r="P72" s="18"/>
      <c r="Q72" s="18"/>
      <c r="R72" s="18"/>
      <c r="S72" s="18"/>
    </row>
    <row r="73" spans="1:19" x14ac:dyDescent="0.25">
      <c r="A73" s="21" t="s">
        <v>897</v>
      </c>
      <c r="B73" s="46">
        <v>0.24236299999999997</v>
      </c>
      <c r="C73" s="252">
        <f t="shared" si="8"/>
        <v>7.9188562156241524E-3</v>
      </c>
      <c r="D73" s="46">
        <v>8.446563E-2</v>
      </c>
      <c r="E73" s="252">
        <f t="shared" si="9"/>
        <v>3.805125242069067E-3</v>
      </c>
      <c r="F73" s="46">
        <v>3.7015730000000004E-2</v>
      </c>
      <c r="G73" s="252">
        <f t="shared" si="10"/>
        <v>1.4793394028457809E-3</v>
      </c>
      <c r="H73" s="252">
        <f t="shared" si="11"/>
        <v>-56.176577384197572</v>
      </c>
      <c r="I73" s="251">
        <f t="shared" si="12"/>
        <v>-84.727153072044828</v>
      </c>
      <c r="J73" s="250"/>
      <c r="O73" s="18"/>
      <c r="P73" s="18"/>
      <c r="Q73" s="18"/>
      <c r="R73" s="18"/>
      <c r="S73" s="18"/>
    </row>
    <row r="74" spans="1:19" x14ac:dyDescent="0.25">
      <c r="A74" s="21" t="s">
        <v>842</v>
      </c>
      <c r="B74" s="46">
        <v>8.7077999999999989E-2</v>
      </c>
      <c r="C74" s="252">
        <f t="shared" si="8"/>
        <v>2.8451461714210499E-3</v>
      </c>
      <c r="D74" s="46">
        <v>3.0140550000000002E-2</v>
      </c>
      <c r="E74" s="252">
        <f t="shared" si="9"/>
        <v>1.3578134397961021E-3</v>
      </c>
      <c r="F74" s="46">
        <v>3.0443799999999997E-2</v>
      </c>
      <c r="G74" s="252">
        <f t="shared" si="10"/>
        <v>1.2166911989134452E-3</v>
      </c>
      <c r="H74" s="252">
        <f t="shared" si="11"/>
        <v>1.0061196627135116</v>
      </c>
      <c r="I74" s="251">
        <f t="shared" si="12"/>
        <v>-65.03847125565585</v>
      </c>
      <c r="J74" s="250"/>
      <c r="O74" s="18"/>
      <c r="P74" s="18"/>
      <c r="Q74" s="18"/>
      <c r="R74" s="18"/>
      <c r="S74" s="18"/>
    </row>
    <row r="75" spans="1:19" x14ac:dyDescent="0.25">
      <c r="A75" s="21" t="s">
        <v>961</v>
      </c>
      <c r="B75" s="46">
        <v>1.1501084799999999</v>
      </c>
      <c r="C75" s="252">
        <f t="shared" si="8"/>
        <v>3.7578110872905704E-2</v>
      </c>
      <c r="D75" s="46">
        <v>1.142666E-2</v>
      </c>
      <c r="E75" s="252">
        <f t="shared" si="9"/>
        <v>5.1476408094678196E-4</v>
      </c>
      <c r="F75" s="46">
        <v>2.7687219999999998E-2</v>
      </c>
      <c r="G75" s="252">
        <f t="shared" si="10"/>
        <v>1.1065240507551724E-3</v>
      </c>
      <c r="H75" s="252">
        <f t="shared" si="11"/>
        <v>142.30370029387416</v>
      </c>
      <c r="I75" s="251">
        <f t="shared" si="12"/>
        <v>-97.592642739230996</v>
      </c>
      <c r="J75" s="250"/>
      <c r="O75" s="18"/>
      <c r="P75" s="18"/>
      <c r="Q75" s="18"/>
      <c r="R75" s="18"/>
      <c r="S75" s="18"/>
    </row>
    <row r="76" spans="1:19" x14ac:dyDescent="0.25">
      <c r="A76" s="21" t="s">
        <v>902</v>
      </c>
      <c r="B76" s="46">
        <v>8.1999779999999994E-2</v>
      </c>
      <c r="C76" s="252">
        <f t="shared" si="8"/>
        <v>2.6792227672244239E-3</v>
      </c>
      <c r="D76" s="46">
        <v>2.889487E-2</v>
      </c>
      <c r="E76" s="252">
        <f t="shared" si="9"/>
        <v>1.3016963136758021E-3</v>
      </c>
      <c r="F76" s="46">
        <v>2.6486330000000002E-2</v>
      </c>
      <c r="G76" s="252">
        <f t="shared" si="10"/>
        <v>1.0585302952495139E-3</v>
      </c>
      <c r="H76" s="252">
        <f t="shared" si="11"/>
        <v>-8.3355280712458573</v>
      </c>
      <c r="I76" s="251">
        <f t="shared" si="12"/>
        <v>-67.6995109011268</v>
      </c>
      <c r="J76" s="250"/>
      <c r="O76" s="18"/>
      <c r="P76" s="18"/>
      <c r="Q76" s="18"/>
      <c r="R76" s="18"/>
      <c r="S76" s="18"/>
    </row>
    <row r="77" spans="1:19" x14ac:dyDescent="0.25">
      <c r="A77" s="21" t="s">
        <v>846</v>
      </c>
      <c r="B77" s="46">
        <v>2.1861240000000001E-2</v>
      </c>
      <c r="C77" s="252">
        <f t="shared" si="8"/>
        <v>7.1428401305170905E-4</v>
      </c>
      <c r="D77" s="46">
        <v>1.6617900000000001E-2</v>
      </c>
      <c r="E77" s="252">
        <f t="shared" si="9"/>
        <v>7.4862628456307694E-4</v>
      </c>
      <c r="F77" s="46">
        <v>2.5291029999999999E-2</v>
      </c>
      <c r="G77" s="252">
        <f t="shared" si="10"/>
        <v>1.0107599449627152E-3</v>
      </c>
      <c r="H77" s="252">
        <f t="shared" si="11"/>
        <v>52.191492306488762</v>
      </c>
      <c r="I77" s="251">
        <f t="shared" si="12"/>
        <v>15.688908771872034</v>
      </c>
      <c r="J77" s="250"/>
      <c r="O77" s="18"/>
      <c r="P77" s="18"/>
      <c r="Q77" s="18"/>
      <c r="R77" s="18"/>
      <c r="S77" s="18"/>
    </row>
    <row r="78" spans="1:19" x14ac:dyDescent="0.25">
      <c r="A78" s="21" t="s">
        <v>870</v>
      </c>
      <c r="B78" s="46">
        <v>4.280801740000002</v>
      </c>
      <c r="C78" s="252">
        <f t="shared" si="8"/>
        <v>0.13986892993837222</v>
      </c>
      <c r="D78" s="46"/>
      <c r="E78" s="252">
        <f t="shared" si="9"/>
        <v>0</v>
      </c>
      <c r="F78" s="46">
        <v>2.439945E-2</v>
      </c>
      <c r="G78" s="252">
        <f t="shared" si="10"/>
        <v>9.7512781168345147E-4</v>
      </c>
      <c r="H78" s="252" t="s">
        <v>240</v>
      </c>
      <c r="I78" s="251">
        <f t="shared" si="12"/>
        <v>-99.430026161407795</v>
      </c>
      <c r="J78" s="250"/>
      <c r="O78" s="18"/>
      <c r="P78" s="18"/>
      <c r="Q78" s="18"/>
      <c r="R78" s="18"/>
      <c r="S78" s="18"/>
    </row>
    <row r="79" spans="1:19" x14ac:dyDescent="0.25">
      <c r="A79" s="21" t="s">
        <v>858</v>
      </c>
      <c r="B79" s="46">
        <v>1.6597000000000001E-2</v>
      </c>
      <c r="C79" s="252">
        <f t="shared" si="8"/>
        <v>5.4228267768064462E-4</v>
      </c>
      <c r="D79" s="46">
        <v>8.893390000000001E-3</v>
      </c>
      <c r="E79" s="252">
        <f t="shared" si="9"/>
        <v>4.0064180870449462E-4</v>
      </c>
      <c r="F79" s="46">
        <v>2.2694309999999999E-2</v>
      </c>
      <c r="G79" s="252">
        <f t="shared" si="10"/>
        <v>9.0698162655165871E-4</v>
      </c>
      <c r="H79" s="252">
        <f t="shared" si="11"/>
        <v>155.18176983130166</v>
      </c>
      <c r="I79" s="251">
        <f t="shared" si="12"/>
        <v>36.737422425739588</v>
      </c>
      <c r="J79" s="250"/>
      <c r="O79" s="18"/>
      <c r="P79" s="18"/>
      <c r="Q79" s="18"/>
      <c r="R79" s="18"/>
      <c r="S79" s="18"/>
    </row>
    <row r="80" spans="1:19" x14ac:dyDescent="0.25">
      <c r="A80" s="21" t="s">
        <v>843</v>
      </c>
      <c r="B80" s="46">
        <v>6.9908889999999987E-2</v>
      </c>
      <c r="C80" s="252">
        <f t="shared" si="8"/>
        <v>2.284170637035707E-3</v>
      </c>
      <c r="D80" s="46"/>
      <c r="E80" s="252">
        <f t="shared" si="9"/>
        <v>0</v>
      </c>
      <c r="F80" s="46">
        <v>2.1350389999999997E-2</v>
      </c>
      <c r="G80" s="252">
        <f t="shared" si="10"/>
        <v>8.5327165486468934E-4</v>
      </c>
      <c r="H80" s="252" t="s">
        <v>240</v>
      </c>
      <c r="I80" s="251">
        <f t="shared" si="12"/>
        <v>-69.459692465436092</v>
      </c>
      <c r="J80" s="250"/>
      <c r="O80" s="18"/>
      <c r="P80" s="18"/>
      <c r="Q80" s="18"/>
      <c r="R80" s="18"/>
      <c r="S80" s="18"/>
    </row>
    <row r="81" spans="1:19" x14ac:dyDescent="0.25">
      <c r="A81" s="21" t="s">
        <v>847</v>
      </c>
      <c r="B81" s="46">
        <v>0.18738343000000002</v>
      </c>
      <c r="C81" s="252">
        <f t="shared" si="8"/>
        <v>6.1224792536834155E-3</v>
      </c>
      <c r="D81" s="46">
        <v>1.673235E-2</v>
      </c>
      <c r="E81" s="252">
        <f t="shared" si="9"/>
        <v>7.5378218743096294E-4</v>
      </c>
      <c r="F81" s="46">
        <v>2.0354480000000001E-2</v>
      </c>
      <c r="G81" s="252">
        <f t="shared" si="10"/>
        <v>8.1346995691929872E-4</v>
      </c>
      <c r="H81" s="252">
        <f t="shared" si="11"/>
        <v>21.647467331247562</v>
      </c>
      <c r="I81" s="251">
        <f t="shared" si="12"/>
        <v>-89.137524059624695</v>
      </c>
      <c r="J81" s="250"/>
      <c r="O81" s="18"/>
      <c r="P81" s="18"/>
      <c r="Q81" s="18"/>
      <c r="R81" s="18"/>
      <c r="S81" s="18"/>
    </row>
    <row r="82" spans="1:19" x14ac:dyDescent="0.25">
      <c r="A82" s="21" t="s">
        <v>903</v>
      </c>
      <c r="B82" s="46">
        <v>0.43784271000000008</v>
      </c>
      <c r="C82" s="252">
        <f t="shared" si="8"/>
        <v>1.4305869565689583E-2</v>
      </c>
      <c r="D82" s="46">
        <v>8.701623E-2</v>
      </c>
      <c r="E82" s="252">
        <f t="shared" si="9"/>
        <v>3.920028220267672E-3</v>
      </c>
      <c r="F82" s="46">
        <v>1.7737369999999999E-2</v>
      </c>
      <c r="G82" s="252">
        <f t="shared" si="10"/>
        <v>7.0887674898900189E-4</v>
      </c>
      <c r="H82" s="252">
        <f t="shared" si="11"/>
        <v>-79.616021057221161</v>
      </c>
      <c r="I82" s="251">
        <f t="shared" si="12"/>
        <v>-95.948917363497955</v>
      </c>
      <c r="J82" s="250"/>
      <c r="O82" s="18"/>
      <c r="P82" s="18"/>
      <c r="Q82" s="18"/>
      <c r="R82" s="18"/>
      <c r="S82" s="18"/>
    </row>
    <row r="83" spans="1:19" x14ac:dyDescent="0.25">
      <c r="A83" s="21" t="s">
        <v>828</v>
      </c>
      <c r="B83" s="46">
        <v>1.1042649999999999E-2</v>
      </c>
      <c r="C83" s="252">
        <f t="shared" si="8"/>
        <v>3.6080242276858286E-4</v>
      </c>
      <c r="D83" s="46">
        <v>6.9221499999999993E-3</v>
      </c>
      <c r="E83" s="252">
        <f t="shared" si="9"/>
        <v>3.1183864601955132E-4</v>
      </c>
      <c r="F83" s="46">
        <v>1.573629E-2</v>
      </c>
      <c r="G83" s="252">
        <f t="shared" si="10"/>
        <v>6.2890327575892816E-4</v>
      </c>
      <c r="H83" s="252">
        <f t="shared" si="11"/>
        <v>127.33240394963997</v>
      </c>
      <c r="I83" s="251">
        <f t="shared" si="12"/>
        <v>42.504652415860321</v>
      </c>
      <c r="J83" s="250"/>
      <c r="O83" s="18"/>
      <c r="P83" s="18"/>
      <c r="Q83" s="18"/>
      <c r="R83" s="18"/>
      <c r="S83" s="18"/>
    </row>
    <row r="84" spans="1:19" x14ac:dyDescent="0.25">
      <c r="A84" s="21" t="s">
        <v>887</v>
      </c>
      <c r="B84" s="46">
        <v>9.0844300000000017E-2</v>
      </c>
      <c r="C84" s="252">
        <f t="shared" si="8"/>
        <v>2.9682045102141226E-3</v>
      </c>
      <c r="D84" s="46"/>
      <c r="E84" s="252">
        <f t="shared" si="9"/>
        <v>0</v>
      </c>
      <c r="F84" s="46">
        <v>1.496567E-2</v>
      </c>
      <c r="G84" s="252">
        <f t="shared" si="10"/>
        <v>5.9810532768061087E-4</v>
      </c>
      <c r="H84" s="252" t="s">
        <v>240</v>
      </c>
      <c r="I84" s="251">
        <f t="shared" si="12"/>
        <v>-83.526021995876462</v>
      </c>
      <c r="J84" s="250"/>
      <c r="O84" s="18"/>
      <c r="P84" s="18"/>
      <c r="Q84" s="18"/>
      <c r="R84" s="18"/>
      <c r="S84" s="18"/>
    </row>
    <row r="85" spans="1:19" x14ac:dyDescent="0.25">
      <c r="A85" s="21" t="s">
        <v>958</v>
      </c>
      <c r="B85" s="46">
        <v>0.15611509000000001</v>
      </c>
      <c r="C85" s="252">
        <f t="shared" si="8"/>
        <v>5.1008320197357855E-3</v>
      </c>
      <c r="D85" s="46">
        <v>2.93133E-2</v>
      </c>
      <c r="E85" s="252">
        <f t="shared" si="9"/>
        <v>1.320546330600307E-3</v>
      </c>
      <c r="F85" s="46">
        <v>1.473701E-2</v>
      </c>
      <c r="G85" s="252">
        <f t="shared" si="10"/>
        <v>5.8896689523973468E-4</v>
      </c>
      <c r="H85" s="252">
        <f t="shared" si="11"/>
        <v>-49.725858228176293</v>
      </c>
      <c r="I85" s="251">
        <f t="shared" si="12"/>
        <v>-90.560163018193819</v>
      </c>
      <c r="J85" s="250"/>
      <c r="O85" s="18"/>
      <c r="P85" s="18"/>
      <c r="Q85" s="18"/>
      <c r="R85" s="18"/>
      <c r="S85" s="18"/>
    </row>
    <row r="86" spans="1:19" x14ac:dyDescent="0.25">
      <c r="A86" s="21" t="s">
        <v>857</v>
      </c>
      <c r="B86" s="46">
        <v>0.48034884000000005</v>
      </c>
      <c r="C86" s="252">
        <f t="shared" si="8"/>
        <v>1.5694695136228929E-2</v>
      </c>
      <c r="D86" s="46"/>
      <c r="E86" s="252">
        <f t="shared" si="9"/>
        <v>0</v>
      </c>
      <c r="F86" s="46">
        <v>1.4285100000000002E-2</v>
      </c>
      <c r="G86" s="252">
        <f t="shared" si="10"/>
        <v>5.7090624184886443E-4</v>
      </c>
      <c r="H86" s="252" t="s">
        <v>240</v>
      </c>
      <c r="I86" s="251">
        <f t="shared" si="12"/>
        <v>-97.026098782709667</v>
      </c>
      <c r="J86" s="250"/>
      <c r="O86" s="18"/>
      <c r="P86" s="18"/>
      <c r="Q86" s="18"/>
      <c r="R86" s="18"/>
      <c r="S86" s="18"/>
    </row>
    <row r="87" spans="1:19" x14ac:dyDescent="0.25">
      <c r="A87" s="21" t="s">
        <v>932</v>
      </c>
      <c r="B87" s="46">
        <v>7.6392459999999995E-2</v>
      </c>
      <c r="C87" s="252">
        <f t="shared" si="8"/>
        <v>2.4960117951082447E-3</v>
      </c>
      <c r="D87" s="46">
        <v>5.1499999999999998E-5</v>
      </c>
      <c r="E87" s="252">
        <f t="shared" si="9"/>
        <v>2.3200436670697531E-6</v>
      </c>
      <c r="F87" s="46">
        <v>1.136852E-2</v>
      </c>
      <c r="G87" s="252">
        <f t="shared" si="10"/>
        <v>4.5434466882161498E-4</v>
      </c>
      <c r="H87" s="252">
        <f t="shared" si="11"/>
        <v>21974.796116504858</v>
      </c>
      <c r="I87" s="251">
        <f t="shared" si="12"/>
        <v>-85.118269525552648</v>
      </c>
      <c r="J87" s="250"/>
      <c r="O87" s="18"/>
      <c r="P87" s="18"/>
      <c r="Q87" s="18"/>
      <c r="R87" s="18"/>
      <c r="S87" s="18"/>
    </row>
    <row r="88" spans="1:19" x14ac:dyDescent="0.25">
      <c r="A88" s="21" t="s">
        <v>947</v>
      </c>
      <c r="B88" s="46">
        <v>7.2660024800000009</v>
      </c>
      <c r="C88" s="252">
        <f t="shared" si="8"/>
        <v>0.23740599390785111</v>
      </c>
      <c r="D88" s="46"/>
      <c r="E88" s="252">
        <f t="shared" si="9"/>
        <v>0</v>
      </c>
      <c r="F88" s="46">
        <v>8.3878799999999986E-3</v>
      </c>
      <c r="G88" s="252">
        <f t="shared" si="10"/>
        <v>3.3522292793744892E-4</v>
      </c>
      <c r="H88" s="252" t="s">
        <v>240</v>
      </c>
      <c r="I88" s="251">
        <f t="shared" si="12"/>
        <v>-99.884559907279296</v>
      </c>
      <c r="J88" s="250"/>
      <c r="O88" s="18"/>
      <c r="P88" s="18"/>
      <c r="Q88" s="18"/>
      <c r="R88" s="18"/>
      <c r="S88" s="18"/>
    </row>
    <row r="89" spans="1:19" x14ac:dyDescent="0.25">
      <c r="A89" s="21" t="s">
        <v>873</v>
      </c>
      <c r="B89" s="46">
        <v>2.611372E-2</v>
      </c>
      <c r="C89" s="252">
        <f t="shared" si="8"/>
        <v>8.5322757159743336E-4</v>
      </c>
      <c r="D89" s="46">
        <v>1.4906400000000001E-3</v>
      </c>
      <c r="E89" s="252">
        <f t="shared" si="9"/>
        <v>6.7152425085065194E-5</v>
      </c>
      <c r="F89" s="46">
        <v>8.1914899999999992E-3</v>
      </c>
      <c r="G89" s="252">
        <f t="shared" si="10"/>
        <v>3.2737417106233445E-4</v>
      </c>
      <c r="H89" s="252">
        <f t="shared" si="11"/>
        <v>449.52839048999078</v>
      </c>
      <c r="I89" s="251">
        <f t="shared" si="12"/>
        <v>-68.631470353515326</v>
      </c>
      <c r="J89" s="250"/>
      <c r="O89" s="18"/>
      <c r="P89" s="18"/>
      <c r="Q89" s="18"/>
      <c r="R89" s="18"/>
      <c r="S89" s="18"/>
    </row>
    <row r="90" spans="1:19" x14ac:dyDescent="0.25">
      <c r="A90" s="21" t="s">
        <v>941</v>
      </c>
      <c r="B90" s="46">
        <v>8.0951549999999997E-2</v>
      </c>
      <c r="C90" s="252">
        <f t="shared" si="8"/>
        <v>2.6449733865396507E-3</v>
      </c>
      <c r="D90" s="46">
        <v>6.6571599999999996E-3</v>
      </c>
      <c r="E90" s="252">
        <f t="shared" si="9"/>
        <v>2.9990100774116658E-4</v>
      </c>
      <c r="F90" s="46">
        <v>7.7186700000000004E-3</v>
      </c>
      <c r="G90" s="252">
        <f t="shared" si="10"/>
        <v>3.0847784627139983E-4</v>
      </c>
      <c r="H90" s="252">
        <f t="shared" si="11"/>
        <v>15.945388123464067</v>
      </c>
      <c r="I90" s="251">
        <f t="shared" si="12"/>
        <v>-90.465074479735094</v>
      </c>
      <c r="J90" s="250"/>
      <c r="O90" s="18"/>
      <c r="P90" s="18"/>
      <c r="Q90" s="18"/>
      <c r="R90" s="18"/>
      <c r="S90" s="18"/>
    </row>
    <row r="91" spans="1:19" x14ac:dyDescent="0.25">
      <c r="A91" s="21" t="s">
        <v>926</v>
      </c>
      <c r="B91" s="46">
        <v>5.2509E-2</v>
      </c>
      <c r="C91" s="252">
        <f t="shared" si="8"/>
        <v>1.7156547040027093E-3</v>
      </c>
      <c r="D91" s="46">
        <v>4.2855780000000003E-2</v>
      </c>
      <c r="E91" s="252">
        <f t="shared" si="9"/>
        <v>1.9306268152686329E-3</v>
      </c>
      <c r="F91" s="46">
        <v>6.9268400000000001E-3</v>
      </c>
      <c r="G91" s="252">
        <f t="shared" si="10"/>
        <v>2.7683223724638874E-4</v>
      </c>
      <c r="H91" s="252">
        <f t="shared" si="11"/>
        <v>-83.836859345460525</v>
      </c>
      <c r="I91" s="251">
        <f t="shared" si="12"/>
        <v>-86.808280485250151</v>
      </c>
      <c r="J91" s="250"/>
      <c r="O91" s="18"/>
      <c r="P91" s="18"/>
      <c r="Q91" s="18"/>
      <c r="R91" s="18"/>
      <c r="S91" s="18"/>
    </row>
    <row r="92" spans="1:19" x14ac:dyDescent="0.25">
      <c r="A92" s="21" t="s">
        <v>874</v>
      </c>
      <c r="B92" s="46"/>
      <c r="C92" s="252">
        <f t="shared" si="8"/>
        <v>0</v>
      </c>
      <c r="D92" s="46">
        <v>1.091203E-2</v>
      </c>
      <c r="E92" s="252">
        <f t="shared" si="9"/>
        <v>4.9158031255097396E-4</v>
      </c>
      <c r="F92" s="46">
        <v>6.7959099999999988E-3</v>
      </c>
      <c r="G92" s="252">
        <f t="shared" si="10"/>
        <v>2.7159959944579424E-4</v>
      </c>
      <c r="H92" s="252">
        <f t="shared" si="11"/>
        <v>-37.720937350795417</v>
      </c>
      <c r="I92" s="251" t="s">
        <v>240</v>
      </c>
      <c r="J92" s="250"/>
      <c r="O92" s="18"/>
      <c r="P92" s="18"/>
      <c r="Q92" s="18"/>
      <c r="R92" s="18"/>
      <c r="S92" s="18"/>
    </row>
    <row r="93" spans="1:19" x14ac:dyDescent="0.25">
      <c r="A93" s="21" t="s">
        <v>944</v>
      </c>
      <c r="B93" s="46">
        <v>4.3154109999999996E-2</v>
      </c>
      <c r="C93" s="252">
        <f t="shared" si="8"/>
        <v>1.4099973684235151E-3</v>
      </c>
      <c r="D93" s="46">
        <v>1.3900999999999999E-4</v>
      </c>
      <c r="E93" s="252">
        <f t="shared" si="9"/>
        <v>6.2623159254245899E-6</v>
      </c>
      <c r="F93" s="46">
        <v>6.3044699999999995E-3</v>
      </c>
      <c r="G93" s="252">
        <f t="shared" si="10"/>
        <v>2.5195912346073247E-4</v>
      </c>
      <c r="H93" s="252">
        <f t="shared" si="11"/>
        <v>4435.2636500971148</v>
      </c>
      <c r="I93" s="251">
        <f t="shared" si="12"/>
        <v>-85.390800551789852</v>
      </c>
      <c r="J93" s="250"/>
      <c r="O93" s="18"/>
      <c r="P93" s="18"/>
      <c r="Q93" s="18"/>
      <c r="R93" s="18"/>
      <c r="S93" s="18"/>
    </row>
    <row r="94" spans="1:19" x14ac:dyDescent="0.25">
      <c r="A94" s="21" t="s">
        <v>962</v>
      </c>
      <c r="B94" s="46">
        <v>1.7109177800000002</v>
      </c>
      <c r="C94" s="252">
        <f t="shared" si="8"/>
        <v>5.5901733748859685E-2</v>
      </c>
      <c r="D94" s="46"/>
      <c r="E94" s="252">
        <f t="shared" si="9"/>
        <v>0</v>
      </c>
      <c r="F94" s="46">
        <v>5.9467600000000006E-3</v>
      </c>
      <c r="G94" s="252">
        <f t="shared" si="10"/>
        <v>2.3766318771147231E-4</v>
      </c>
      <c r="H94" s="252" t="s">
        <v>240</v>
      </c>
      <c r="I94" s="251">
        <f t="shared" si="12"/>
        <v>-99.652422806664617</v>
      </c>
      <c r="J94" s="250"/>
      <c r="O94" s="18"/>
      <c r="P94" s="18"/>
      <c r="Q94" s="18"/>
      <c r="R94" s="18"/>
      <c r="S94" s="18"/>
    </row>
    <row r="95" spans="1:19" x14ac:dyDescent="0.25">
      <c r="A95" s="21" t="s">
        <v>890</v>
      </c>
      <c r="B95" s="46">
        <v>2.3996320000000002E-2</v>
      </c>
      <c r="C95" s="252">
        <f t="shared" si="8"/>
        <v>7.8404462638317809E-4</v>
      </c>
      <c r="D95" s="46">
        <v>1.9787799999999999E-3</v>
      </c>
      <c r="E95" s="252">
        <f t="shared" si="9"/>
        <v>8.9142835097558956E-5</v>
      </c>
      <c r="F95" s="46">
        <v>4.5641099999999997E-3</v>
      </c>
      <c r="G95" s="252">
        <f t="shared" si="10"/>
        <v>1.8240536555465625E-4</v>
      </c>
      <c r="H95" s="252">
        <f t="shared" si="11"/>
        <v>130.6527254166709</v>
      </c>
      <c r="I95" s="251">
        <f t="shared" si="12"/>
        <v>-80.979958593651034</v>
      </c>
      <c r="J95" s="250"/>
      <c r="O95" s="18"/>
      <c r="P95" s="18"/>
      <c r="Q95" s="18"/>
      <c r="R95" s="18"/>
      <c r="S95" s="18"/>
    </row>
    <row r="96" spans="1:19" x14ac:dyDescent="0.25">
      <c r="A96" s="21" t="s">
        <v>950</v>
      </c>
      <c r="B96" s="46">
        <v>4.3035119999999996E-2</v>
      </c>
      <c r="C96" s="252">
        <f t="shared" si="8"/>
        <v>1.406109544369938E-3</v>
      </c>
      <c r="D96" s="46">
        <v>2.45313E-3</v>
      </c>
      <c r="E96" s="252">
        <f t="shared" si="9"/>
        <v>1.1051201399997718E-4</v>
      </c>
      <c r="F96" s="46">
        <v>2.01995E-3</v>
      </c>
      <c r="G96" s="252">
        <f t="shared" si="10"/>
        <v>8.072761571305861E-5</v>
      </c>
      <c r="H96" s="252">
        <f t="shared" si="11"/>
        <v>-17.65825700227872</v>
      </c>
      <c r="I96" s="251">
        <f t="shared" si="12"/>
        <v>-95.306275432716347</v>
      </c>
      <c r="J96" s="250"/>
      <c r="O96" s="18"/>
      <c r="P96" s="18"/>
      <c r="Q96" s="18"/>
      <c r="R96" s="18"/>
      <c r="S96" s="18"/>
    </row>
    <row r="97" spans="1:19" x14ac:dyDescent="0.25">
      <c r="A97" s="21" t="s">
        <v>959</v>
      </c>
      <c r="B97" s="46">
        <v>8.8302740000000005E-2</v>
      </c>
      <c r="C97" s="252">
        <f t="shared" si="8"/>
        <v>2.8851627579525073E-3</v>
      </c>
      <c r="D97" s="46">
        <v>3.4419999999999999E-5</v>
      </c>
      <c r="E97" s="252">
        <f t="shared" si="9"/>
        <v>1.5506000586512796E-6</v>
      </c>
      <c r="F97" s="46">
        <v>1.0280199999999999E-3</v>
      </c>
      <c r="G97" s="252">
        <f t="shared" si="10"/>
        <v>4.1084979086283573E-5</v>
      </c>
      <c r="H97" s="252">
        <f t="shared" si="11"/>
        <v>2886.6937826844855</v>
      </c>
      <c r="I97" s="251">
        <f t="shared" si="12"/>
        <v>-98.835800565191974</v>
      </c>
      <c r="J97" s="250"/>
      <c r="O97" s="18"/>
      <c r="P97" s="18"/>
      <c r="Q97" s="18"/>
      <c r="R97" s="18"/>
      <c r="S97" s="18"/>
    </row>
    <row r="98" spans="1:19" x14ac:dyDescent="0.25">
      <c r="A98" s="21" t="s">
        <v>850</v>
      </c>
      <c r="B98" s="46">
        <v>8.7326799999999996E-3</v>
      </c>
      <c r="C98" s="252">
        <f t="shared" si="8"/>
        <v>2.8532753471881733E-4</v>
      </c>
      <c r="D98" s="46">
        <v>2.4233200000000001E-3</v>
      </c>
      <c r="E98" s="252">
        <f t="shared" si="9"/>
        <v>1.0916909163657234E-4</v>
      </c>
      <c r="F98" s="46">
        <v>4.0000000000000002E-4</v>
      </c>
      <c r="G98" s="252">
        <f t="shared" si="10"/>
        <v>1.5986062172441619E-5</v>
      </c>
      <c r="H98" s="252">
        <f t="shared" si="11"/>
        <v>-83.493719360216573</v>
      </c>
      <c r="I98" s="251">
        <f t="shared" si="12"/>
        <v>-95.419504665234498</v>
      </c>
      <c r="J98" s="250"/>
      <c r="O98" s="18"/>
      <c r="P98" s="18"/>
      <c r="Q98" s="18"/>
      <c r="R98" s="18"/>
      <c r="S98" s="18"/>
    </row>
    <row r="99" spans="1:19" x14ac:dyDescent="0.25">
      <c r="A99" s="21" t="s">
        <v>892</v>
      </c>
      <c r="B99" s="46">
        <v>0.74174854000000001</v>
      </c>
      <c r="C99" s="252">
        <f t="shared" si="8"/>
        <v>2.4235547655414153E-2</v>
      </c>
      <c r="D99" s="46"/>
      <c r="E99" s="252">
        <f t="shared" si="9"/>
        <v>0</v>
      </c>
      <c r="F99" s="46">
        <v>3.4459999999999999E-5</v>
      </c>
      <c r="G99" s="252">
        <f t="shared" si="10"/>
        <v>1.3771992561558451E-6</v>
      </c>
      <c r="H99" s="252" t="s">
        <v>240</v>
      </c>
      <c r="I99" s="251">
        <f t="shared" si="12"/>
        <v>-99.995354220717431</v>
      </c>
      <c r="J99" s="250"/>
      <c r="O99" s="18"/>
      <c r="P99" s="18"/>
      <c r="Q99" s="18"/>
      <c r="R99" s="18"/>
      <c r="S99" s="18"/>
    </row>
    <row r="100" spans="1:19" x14ac:dyDescent="0.25">
      <c r="A100" s="21" t="s">
        <v>883</v>
      </c>
      <c r="B100" s="46">
        <v>1.4084951699999999</v>
      </c>
      <c r="C100" s="252">
        <f t="shared" ref="C100:C131" si="13">(B100/$B$160)*100</f>
        <v>4.6020517701262559E-2</v>
      </c>
      <c r="D100" s="46"/>
      <c r="E100" s="252">
        <f t="shared" ref="E100:E131" si="14">(D100/$D$160)*100</f>
        <v>0</v>
      </c>
      <c r="F100" s="46">
        <v>2.1890000000000002E-5</v>
      </c>
      <c r="G100" s="252">
        <f t="shared" ref="G100:G131" si="15">(F100/$F$160)*100</f>
        <v>8.7483725238686769E-7</v>
      </c>
      <c r="H100" s="252" t="s">
        <v>240</v>
      </c>
      <c r="I100" s="251">
        <f t="shared" si="12"/>
        <v>-99.998445859065328</v>
      </c>
      <c r="J100" s="250"/>
      <c r="O100" s="18"/>
      <c r="P100" s="18"/>
      <c r="Q100" s="18"/>
      <c r="R100" s="18"/>
      <c r="S100" s="18"/>
    </row>
    <row r="101" spans="1:19" x14ac:dyDescent="0.25">
      <c r="A101" s="21" t="s">
        <v>896</v>
      </c>
      <c r="B101" s="46">
        <v>4.4297599999999996E-3</v>
      </c>
      <c r="C101" s="252">
        <f t="shared" si="13"/>
        <v>1.447359230151601E-4</v>
      </c>
      <c r="D101" s="46">
        <v>0.18968112000000001</v>
      </c>
      <c r="E101" s="252">
        <f t="shared" si="14"/>
        <v>8.5450190527902505E-3</v>
      </c>
      <c r="F101" s="46">
        <v>2.1890000000000002E-5</v>
      </c>
      <c r="G101" s="252">
        <f t="shared" si="15"/>
        <v>8.7483725238686769E-7</v>
      </c>
      <c r="H101" s="252">
        <f t="shared" si="11"/>
        <v>-99.988459578897476</v>
      </c>
      <c r="I101" s="251">
        <f t="shared" si="12"/>
        <v>-99.505842302969</v>
      </c>
      <c r="J101" s="250"/>
      <c r="O101" s="18"/>
      <c r="P101" s="18"/>
      <c r="Q101" s="18"/>
      <c r="R101" s="18"/>
      <c r="S101" s="18"/>
    </row>
    <row r="102" spans="1:19" x14ac:dyDescent="0.25">
      <c r="A102" s="21" t="s">
        <v>763</v>
      </c>
      <c r="B102" s="46">
        <v>1.072176E-2</v>
      </c>
      <c r="C102" s="252">
        <f t="shared" si="13"/>
        <v>3.5031781178822849E-4</v>
      </c>
      <c r="D102" s="46"/>
      <c r="E102" s="252">
        <f t="shared" si="14"/>
        <v>0</v>
      </c>
      <c r="F102" s="46"/>
      <c r="G102" s="252">
        <f t="shared" si="15"/>
        <v>0</v>
      </c>
      <c r="H102" s="252" t="s">
        <v>240</v>
      </c>
      <c r="I102" s="251">
        <f t="shared" si="12"/>
        <v>-100</v>
      </c>
      <c r="J102" s="250"/>
      <c r="O102" s="18"/>
      <c r="P102" s="18"/>
      <c r="Q102" s="18"/>
      <c r="R102" s="18"/>
      <c r="S102" s="18"/>
    </row>
    <row r="103" spans="1:19" x14ac:dyDescent="0.25">
      <c r="A103" s="21" t="s">
        <v>929</v>
      </c>
      <c r="B103" s="46">
        <v>1.1809389999999999E-2</v>
      </c>
      <c r="C103" s="252">
        <f t="shared" si="13"/>
        <v>3.8585452979303657E-4</v>
      </c>
      <c r="D103" s="46"/>
      <c r="E103" s="252">
        <f t="shared" si="14"/>
        <v>0</v>
      </c>
      <c r="F103" s="46"/>
      <c r="G103" s="252">
        <f t="shared" si="15"/>
        <v>0</v>
      </c>
      <c r="H103" s="252" t="s">
        <v>240</v>
      </c>
      <c r="I103" s="251">
        <f t="shared" si="12"/>
        <v>-100</v>
      </c>
      <c r="J103" s="250"/>
      <c r="O103" s="18"/>
      <c r="P103" s="18"/>
      <c r="Q103" s="18"/>
      <c r="R103" s="18"/>
      <c r="S103" s="18"/>
    </row>
    <row r="104" spans="1:19" x14ac:dyDescent="0.25">
      <c r="A104" s="21" t="s">
        <v>738</v>
      </c>
      <c r="B104" s="46">
        <v>0.30352001000000001</v>
      </c>
      <c r="C104" s="252">
        <f t="shared" si="13"/>
        <v>9.9170719860490475E-3</v>
      </c>
      <c r="D104" s="46"/>
      <c r="E104" s="252">
        <f t="shared" si="14"/>
        <v>0</v>
      </c>
      <c r="F104" s="46"/>
      <c r="G104" s="252">
        <f t="shared" si="15"/>
        <v>0</v>
      </c>
      <c r="H104" s="252" t="s">
        <v>240</v>
      </c>
      <c r="I104" s="251">
        <f t="shared" si="12"/>
        <v>-100</v>
      </c>
      <c r="J104" s="250"/>
      <c r="O104" s="18"/>
      <c r="P104" s="18"/>
      <c r="Q104" s="18"/>
      <c r="R104" s="18"/>
      <c r="S104" s="18"/>
    </row>
    <row r="105" spans="1:19" x14ac:dyDescent="0.25">
      <c r="A105" s="21" t="s">
        <v>814</v>
      </c>
      <c r="B105" s="46">
        <v>8.2995000000000009E-4</v>
      </c>
      <c r="C105" s="252">
        <f t="shared" si="13"/>
        <v>2.7117401237636379E-5</v>
      </c>
      <c r="D105" s="46"/>
      <c r="E105" s="252">
        <f t="shared" si="14"/>
        <v>0</v>
      </c>
      <c r="F105" s="46"/>
      <c r="G105" s="252">
        <f t="shared" si="15"/>
        <v>0</v>
      </c>
      <c r="H105" s="252" t="s">
        <v>240</v>
      </c>
      <c r="I105" s="251">
        <f t="shared" si="12"/>
        <v>-100</v>
      </c>
      <c r="J105" s="250"/>
      <c r="O105" s="18"/>
      <c r="P105" s="18"/>
      <c r="Q105" s="18"/>
      <c r="R105" s="18"/>
      <c r="S105" s="18"/>
    </row>
    <row r="106" spans="1:19" x14ac:dyDescent="0.25">
      <c r="A106" s="21" t="s">
        <v>916</v>
      </c>
      <c r="B106" s="46">
        <v>5.1265000000000002E-4</v>
      </c>
      <c r="C106" s="252">
        <f t="shared" si="13"/>
        <v>1.6750088251670932E-5</v>
      </c>
      <c r="D106" s="46"/>
      <c r="E106" s="252">
        <f t="shared" si="14"/>
        <v>0</v>
      </c>
      <c r="F106" s="46"/>
      <c r="G106" s="252">
        <f t="shared" si="15"/>
        <v>0</v>
      </c>
      <c r="H106" s="252" t="s">
        <v>240</v>
      </c>
      <c r="I106" s="251">
        <f t="shared" si="12"/>
        <v>-100</v>
      </c>
      <c r="J106" s="250"/>
      <c r="O106" s="18"/>
      <c r="P106" s="18"/>
      <c r="Q106" s="18"/>
      <c r="R106" s="18"/>
      <c r="S106" s="18"/>
    </row>
    <row r="107" spans="1:19" x14ac:dyDescent="0.25">
      <c r="A107" s="21" t="s">
        <v>922</v>
      </c>
      <c r="B107" s="46">
        <v>0.6222806500000001</v>
      </c>
      <c r="C107" s="252">
        <f t="shared" si="13"/>
        <v>2.0332109245698143E-2</v>
      </c>
      <c r="D107" s="46"/>
      <c r="E107" s="252">
        <f t="shared" si="14"/>
        <v>0</v>
      </c>
      <c r="F107" s="46"/>
      <c r="G107" s="252">
        <f t="shared" si="15"/>
        <v>0</v>
      </c>
      <c r="H107" s="252" t="s">
        <v>240</v>
      </c>
      <c r="I107" s="251">
        <f t="shared" si="12"/>
        <v>-100</v>
      </c>
      <c r="J107" s="250"/>
      <c r="O107" s="18"/>
      <c r="P107" s="18"/>
      <c r="Q107" s="18"/>
      <c r="R107" s="18"/>
      <c r="S107" s="18"/>
    </row>
    <row r="108" spans="1:19" x14ac:dyDescent="0.25">
      <c r="A108" s="21" t="s">
        <v>894</v>
      </c>
      <c r="B108" s="46">
        <v>4.0282999999999996E-4</v>
      </c>
      <c r="C108" s="252">
        <f t="shared" si="13"/>
        <v>1.3161880523594266E-5</v>
      </c>
      <c r="D108" s="46"/>
      <c r="E108" s="252">
        <f t="shared" si="14"/>
        <v>0</v>
      </c>
      <c r="F108" s="46"/>
      <c r="G108" s="252">
        <f t="shared" si="15"/>
        <v>0</v>
      </c>
      <c r="H108" s="252" t="s">
        <v>240</v>
      </c>
      <c r="I108" s="251">
        <f t="shared" si="12"/>
        <v>-100</v>
      </c>
      <c r="J108" s="250"/>
      <c r="O108" s="18"/>
      <c r="P108" s="18"/>
      <c r="Q108" s="18"/>
      <c r="R108" s="18"/>
      <c r="S108" s="18"/>
    </row>
    <row r="109" spans="1:19" x14ac:dyDescent="0.25">
      <c r="A109" s="21" t="s">
        <v>942</v>
      </c>
      <c r="B109" s="46">
        <v>2.2358650000000001E-2</v>
      </c>
      <c r="C109" s="252">
        <f t="shared" si="13"/>
        <v>7.305361566141077E-4</v>
      </c>
      <c r="D109" s="46"/>
      <c r="E109" s="252">
        <f t="shared" si="14"/>
        <v>0</v>
      </c>
      <c r="F109" s="46"/>
      <c r="G109" s="252">
        <f t="shared" si="15"/>
        <v>0</v>
      </c>
      <c r="H109" s="252" t="s">
        <v>240</v>
      </c>
      <c r="I109" s="251">
        <f t="shared" si="12"/>
        <v>-100</v>
      </c>
      <c r="J109" s="250"/>
      <c r="O109" s="18"/>
      <c r="P109" s="18"/>
      <c r="Q109" s="18"/>
      <c r="R109" s="18"/>
      <c r="S109" s="18"/>
    </row>
    <row r="110" spans="1:19" x14ac:dyDescent="0.25">
      <c r="A110" s="21" t="s">
        <v>790</v>
      </c>
      <c r="B110" s="46">
        <v>1.05466E-3</v>
      </c>
      <c r="C110" s="252">
        <f t="shared" si="13"/>
        <v>3.4459471521520075E-5</v>
      </c>
      <c r="D110" s="46"/>
      <c r="E110" s="252">
        <f t="shared" si="14"/>
        <v>0</v>
      </c>
      <c r="F110" s="46"/>
      <c r="G110" s="252">
        <f t="shared" si="15"/>
        <v>0</v>
      </c>
      <c r="H110" s="252" t="s">
        <v>240</v>
      </c>
      <c r="I110" s="251">
        <f t="shared" si="12"/>
        <v>-100</v>
      </c>
      <c r="J110" s="250"/>
      <c r="O110" s="18"/>
      <c r="P110" s="18"/>
      <c r="Q110" s="18"/>
      <c r="R110" s="18"/>
      <c r="S110" s="18"/>
    </row>
    <row r="111" spans="1:19" x14ac:dyDescent="0.25">
      <c r="A111" s="21" t="s">
        <v>787</v>
      </c>
      <c r="B111" s="46">
        <v>6.0442899999999999E-3</v>
      </c>
      <c r="C111" s="252">
        <f t="shared" si="13"/>
        <v>1.9748832716023033E-4</v>
      </c>
      <c r="D111" s="46"/>
      <c r="E111" s="252">
        <f t="shared" si="14"/>
        <v>0</v>
      </c>
      <c r="F111" s="46"/>
      <c r="G111" s="252">
        <f t="shared" si="15"/>
        <v>0</v>
      </c>
      <c r="H111" s="252" t="s">
        <v>240</v>
      </c>
      <c r="I111" s="251">
        <f t="shared" si="12"/>
        <v>-100</v>
      </c>
      <c r="J111" s="250"/>
      <c r="O111" s="18"/>
      <c r="P111" s="18"/>
      <c r="Q111" s="18"/>
      <c r="R111" s="18"/>
      <c r="S111" s="18"/>
    </row>
    <row r="112" spans="1:19" x14ac:dyDescent="0.25">
      <c r="A112" s="21" t="s">
        <v>802</v>
      </c>
      <c r="B112" s="46">
        <v>9.6768599999999989E-3</v>
      </c>
      <c r="C112" s="252">
        <f t="shared" si="13"/>
        <v>3.1617723397847332E-4</v>
      </c>
      <c r="D112" s="46"/>
      <c r="E112" s="252">
        <f t="shared" si="14"/>
        <v>0</v>
      </c>
      <c r="F112" s="46"/>
      <c r="G112" s="252">
        <f t="shared" si="15"/>
        <v>0</v>
      </c>
      <c r="H112" s="252" t="s">
        <v>240</v>
      </c>
      <c r="I112" s="251">
        <f t="shared" si="12"/>
        <v>-100</v>
      </c>
      <c r="J112" s="250"/>
      <c r="O112" s="18"/>
      <c r="P112" s="18"/>
      <c r="Q112" s="18"/>
      <c r="R112" s="18"/>
      <c r="S112" s="18"/>
    </row>
    <row r="113" spans="1:19" x14ac:dyDescent="0.25">
      <c r="A113" s="21" t="s">
        <v>741</v>
      </c>
      <c r="B113" s="46">
        <v>9.8339E-4</v>
      </c>
      <c r="C113" s="252">
        <f t="shared" si="13"/>
        <v>3.2130828607842929E-5</v>
      </c>
      <c r="D113" s="46"/>
      <c r="E113" s="252">
        <f t="shared" si="14"/>
        <v>0</v>
      </c>
      <c r="F113" s="46"/>
      <c r="G113" s="252">
        <f t="shared" si="15"/>
        <v>0</v>
      </c>
      <c r="H113" s="252" t="s">
        <v>240</v>
      </c>
      <c r="I113" s="251">
        <f t="shared" si="12"/>
        <v>-100</v>
      </c>
      <c r="J113" s="250"/>
      <c r="O113" s="18"/>
      <c r="P113" s="18"/>
      <c r="Q113" s="18"/>
      <c r="R113" s="18"/>
      <c r="S113" s="18"/>
    </row>
    <row r="114" spans="1:19" x14ac:dyDescent="0.25">
      <c r="A114" s="21" t="s">
        <v>740</v>
      </c>
      <c r="B114" s="46">
        <v>36.350226909999996</v>
      </c>
      <c r="C114" s="252">
        <f t="shared" si="13"/>
        <v>1.1876904490603013</v>
      </c>
      <c r="D114" s="46"/>
      <c r="E114" s="252">
        <f t="shared" si="14"/>
        <v>0</v>
      </c>
      <c r="F114" s="46"/>
      <c r="G114" s="252">
        <f t="shared" si="15"/>
        <v>0</v>
      </c>
      <c r="H114" s="252" t="s">
        <v>240</v>
      </c>
      <c r="I114" s="251">
        <f t="shared" si="12"/>
        <v>-100</v>
      </c>
      <c r="J114" s="250"/>
      <c r="O114" s="18"/>
      <c r="P114" s="18"/>
      <c r="Q114" s="18"/>
      <c r="R114" s="18"/>
      <c r="S114" s="18"/>
    </row>
    <row r="115" spans="1:19" x14ac:dyDescent="0.25">
      <c r="A115" s="21" t="s">
        <v>838</v>
      </c>
      <c r="B115" s="46">
        <v>0.64322374999999998</v>
      </c>
      <c r="C115" s="252">
        <f t="shared" si="13"/>
        <v>2.1016394378368712E-2</v>
      </c>
      <c r="D115" s="46"/>
      <c r="E115" s="252">
        <f t="shared" si="14"/>
        <v>0</v>
      </c>
      <c r="F115" s="46"/>
      <c r="G115" s="252">
        <f t="shared" si="15"/>
        <v>0</v>
      </c>
      <c r="H115" s="252" t="s">
        <v>240</v>
      </c>
      <c r="I115" s="251">
        <f t="shared" si="12"/>
        <v>-100</v>
      </c>
      <c r="J115" s="250"/>
      <c r="O115" s="18"/>
      <c r="P115" s="18"/>
      <c r="Q115" s="18"/>
      <c r="R115" s="18"/>
      <c r="S115" s="18"/>
    </row>
    <row r="116" spans="1:19" x14ac:dyDescent="0.25">
      <c r="A116" s="21" t="s">
        <v>844</v>
      </c>
      <c r="B116" s="46">
        <v>5.6698000000000002E-4</v>
      </c>
      <c r="C116" s="252">
        <f t="shared" si="13"/>
        <v>1.8525241464805199E-5</v>
      </c>
      <c r="D116" s="46"/>
      <c r="E116" s="252">
        <f t="shared" si="14"/>
        <v>0</v>
      </c>
      <c r="F116" s="46"/>
      <c r="G116" s="252">
        <f t="shared" si="15"/>
        <v>0</v>
      </c>
      <c r="H116" s="252" t="s">
        <v>240</v>
      </c>
      <c r="I116" s="251">
        <f t="shared" si="12"/>
        <v>-100</v>
      </c>
      <c r="J116" s="250"/>
      <c r="O116" s="18"/>
      <c r="P116" s="18"/>
      <c r="Q116" s="18"/>
      <c r="R116" s="18"/>
      <c r="S116" s="18"/>
    </row>
    <row r="117" spans="1:19" x14ac:dyDescent="0.25">
      <c r="A117" s="21" t="s">
        <v>839</v>
      </c>
      <c r="B117" s="46">
        <v>5.9566200000000001E-3</v>
      </c>
      <c r="C117" s="252">
        <f t="shared" si="13"/>
        <v>1.9462383825547276E-4</v>
      </c>
      <c r="D117" s="46"/>
      <c r="E117" s="252">
        <f t="shared" si="14"/>
        <v>0</v>
      </c>
      <c r="F117" s="46"/>
      <c r="G117" s="252">
        <f t="shared" si="15"/>
        <v>0</v>
      </c>
      <c r="H117" s="252" t="s">
        <v>240</v>
      </c>
      <c r="I117" s="251">
        <f t="shared" si="12"/>
        <v>-100</v>
      </c>
      <c r="J117" s="250"/>
      <c r="O117" s="18"/>
      <c r="P117" s="18"/>
      <c r="Q117" s="18"/>
      <c r="R117" s="18"/>
      <c r="S117" s="18"/>
    </row>
    <row r="118" spans="1:19" x14ac:dyDescent="0.25">
      <c r="A118" s="21" t="s">
        <v>800</v>
      </c>
      <c r="B118" s="46">
        <v>2.2187999999999998E-4</v>
      </c>
      <c r="C118" s="252">
        <f t="shared" si="13"/>
        <v>7.2496041768862691E-6</v>
      </c>
      <c r="D118" s="46"/>
      <c r="E118" s="252">
        <f t="shared" si="14"/>
        <v>0</v>
      </c>
      <c r="F118" s="46"/>
      <c r="G118" s="252">
        <f t="shared" si="15"/>
        <v>0</v>
      </c>
      <c r="H118" s="252" t="s">
        <v>240</v>
      </c>
      <c r="I118" s="251">
        <f t="shared" si="12"/>
        <v>-100</v>
      </c>
      <c r="J118" s="250"/>
      <c r="O118" s="18"/>
      <c r="P118" s="18"/>
      <c r="Q118" s="18"/>
      <c r="R118" s="18"/>
      <c r="S118" s="18"/>
    </row>
    <row r="119" spans="1:19" x14ac:dyDescent="0.25">
      <c r="A119" s="21" t="s">
        <v>893</v>
      </c>
      <c r="B119" s="46">
        <v>0.88600938000000007</v>
      </c>
      <c r="C119" s="252">
        <f t="shared" si="13"/>
        <v>2.8949059410530081E-2</v>
      </c>
      <c r="D119" s="46"/>
      <c r="E119" s="252">
        <f t="shared" si="14"/>
        <v>0</v>
      </c>
      <c r="F119" s="46"/>
      <c r="G119" s="252">
        <f t="shared" si="15"/>
        <v>0</v>
      </c>
      <c r="H119" s="252" t="s">
        <v>240</v>
      </c>
      <c r="I119" s="251">
        <f t="shared" si="12"/>
        <v>-100</v>
      </c>
      <c r="J119" s="250"/>
      <c r="O119" s="18"/>
      <c r="P119" s="18"/>
      <c r="Q119" s="18"/>
      <c r="R119" s="18"/>
      <c r="S119" s="18"/>
    </row>
    <row r="120" spans="1:19" x14ac:dyDescent="0.25">
      <c r="A120" s="21" t="s">
        <v>967</v>
      </c>
      <c r="B120" s="46">
        <v>0.35456296999999998</v>
      </c>
      <c r="C120" s="252">
        <f t="shared" si="13"/>
        <v>1.1584825979273485E-2</v>
      </c>
      <c r="D120" s="46"/>
      <c r="E120" s="252">
        <f t="shared" si="14"/>
        <v>0</v>
      </c>
      <c r="F120" s="46"/>
      <c r="G120" s="252">
        <f t="shared" si="15"/>
        <v>0</v>
      </c>
      <c r="H120" s="252" t="s">
        <v>240</v>
      </c>
      <c r="I120" s="251">
        <f t="shared" si="12"/>
        <v>-100</v>
      </c>
      <c r="J120" s="250"/>
      <c r="O120" s="18"/>
      <c r="P120" s="18"/>
      <c r="Q120" s="18"/>
      <c r="R120" s="18"/>
      <c r="S120" s="18"/>
    </row>
    <row r="121" spans="1:19" x14ac:dyDescent="0.25">
      <c r="A121" s="21" t="s">
        <v>975</v>
      </c>
      <c r="B121" s="46">
        <v>6.4365000000000004E-3</v>
      </c>
      <c r="C121" s="252">
        <f t="shared" si="13"/>
        <v>2.1030321473106399E-4</v>
      </c>
      <c r="D121" s="46"/>
      <c r="E121" s="252">
        <f t="shared" si="14"/>
        <v>0</v>
      </c>
      <c r="F121" s="46"/>
      <c r="G121" s="252">
        <f t="shared" si="15"/>
        <v>0</v>
      </c>
      <c r="H121" s="252" t="s">
        <v>240</v>
      </c>
      <c r="I121" s="251">
        <f t="shared" si="12"/>
        <v>-100</v>
      </c>
      <c r="J121" s="250"/>
      <c r="O121" s="18"/>
      <c r="P121" s="18"/>
      <c r="Q121" s="18"/>
      <c r="R121" s="18"/>
      <c r="S121" s="18"/>
    </row>
    <row r="122" spans="1:19" x14ac:dyDescent="0.25">
      <c r="A122" s="21" t="s">
        <v>816</v>
      </c>
      <c r="B122" s="46">
        <v>3.24223E-3</v>
      </c>
      <c r="C122" s="252">
        <f t="shared" si="13"/>
        <v>1.0593511875980697E-4</v>
      </c>
      <c r="D122" s="46"/>
      <c r="E122" s="252">
        <f t="shared" si="14"/>
        <v>0</v>
      </c>
      <c r="F122" s="46"/>
      <c r="G122" s="252">
        <f t="shared" si="15"/>
        <v>0</v>
      </c>
      <c r="H122" s="252" t="s">
        <v>240</v>
      </c>
      <c r="I122" s="251">
        <f t="shared" si="12"/>
        <v>-100</v>
      </c>
      <c r="J122" s="250"/>
      <c r="O122" s="18"/>
      <c r="P122" s="18"/>
      <c r="Q122" s="18"/>
      <c r="R122" s="18"/>
      <c r="S122" s="18"/>
    </row>
    <row r="123" spans="1:19" x14ac:dyDescent="0.25">
      <c r="A123" s="21" t="s">
        <v>796</v>
      </c>
      <c r="B123" s="46">
        <v>1.398245E-2</v>
      </c>
      <c r="C123" s="252">
        <f t="shared" si="13"/>
        <v>4.5685608402336141E-4</v>
      </c>
      <c r="D123" s="46"/>
      <c r="E123" s="252">
        <f t="shared" si="14"/>
        <v>0</v>
      </c>
      <c r="F123" s="46"/>
      <c r="G123" s="252">
        <f t="shared" si="15"/>
        <v>0</v>
      </c>
      <c r="H123" s="252" t="s">
        <v>240</v>
      </c>
      <c r="I123" s="251">
        <f t="shared" si="12"/>
        <v>-100</v>
      </c>
      <c r="J123" s="250"/>
      <c r="O123" s="18"/>
      <c r="P123" s="18"/>
      <c r="Q123" s="18"/>
      <c r="R123" s="18"/>
      <c r="S123" s="18"/>
    </row>
    <row r="124" spans="1:19" x14ac:dyDescent="0.25">
      <c r="A124" s="21" t="s">
        <v>777</v>
      </c>
      <c r="B124" s="46">
        <v>8.5006400000000003E-3</v>
      </c>
      <c r="C124" s="252">
        <f t="shared" si="13"/>
        <v>2.7774596741574954E-4</v>
      </c>
      <c r="D124" s="46"/>
      <c r="E124" s="252">
        <f t="shared" si="14"/>
        <v>0</v>
      </c>
      <c r="F124" s="46"/>
      <c r="G124" s="252">
        <f t="shared" si="15"/>
        <v>0</v>
      </c>
      <c r="H124" s="252" t="s">
        <v>240</v>
      </c>
      <c r="I124" s="251">
        <f t="shared" si="12"/>
        <v>-100</v>
      </c>
      <c r="J124" s="250"/>
      <c r="O124" s="18"/>
      <c r="P124" s="18"/>
      <c r="Q124" s="18"/>
      <c r="R124" s="18"/>
      <c r="S124" s="18"/>
    </row>
    <row r="125" spans="1:19" x14ac:dyDescent="0.25">
      <c r="A125" s="21" t="s">
        <v>864</v>
      </c>
      <c r="B125" s="46">
        <v>0.15788379</v>
      </c>
      <c r="C125" s="252">
        <f t="shared" si="13"/>
        <v>5.1586217029323724E-3</v>
      </c>
      <c r="D125" s="46">
        <v>1.1670199999999999E-2</v>
      </c>
      <c r="E125" s="252">
        <f t="shared" si="14"/>
        <v>5.2573540977548421E-4</v>
      </c>
      <c r="F125" s="46"/>
      <c r="G125" s="252">
        <f t="shared" si="15"/>
        <v>0</v>
      </c>
      <c r="H125" s="252">
        <f t="shared" si="11"/>
        <v>-100</v>
      </c>
      <c r="I125" s="251">
        <f t="shared" si="12"/>
        <v>-100</v>
      </c>
      <c r="J125" s="250"/>
      <c r="O125" s="18"/>
      <c r="P125" s="18"/>
      <c r="Q125" s="18"/>
      <c r="R125" s="18"/>
      <c r="S125" s="18"/>
    </row>
    <row r="126" spans="1:19" x14ac:dyDescent="0.25">
      <c r="A126" s="21" t="s">
        <v>871</v>
      </c>
      <c r="B126" s="46">
        <v>2.0094399999999999E-3</v>
      </c>
      <c r="C126" s="252">
        <f t="shared" si="13"/>
        <v>6.5655510263215911E-5</v>
      </c>
      <c r="D126" s="46"/>
      <c r="E126" s="252">
        <f t="shared" si="14"/>
        <v>0</v>
      </c>
      <c r="F126" s="46"/>
      <c r="G126" s="252">
        <f t="shared" si="15"/>
        <v>0</v>
      </c>
      <c r="H126" s="252" t="s">
        <v>240</v>
      </c>
      <c r="I126" s="251">
        <f t="shared" si="12"/>
        <v>-100</v>
      </c>
      <c r="J126" s="250"/>
      <c r="O126" s="18"/>
      <c r="P126" s="18"/>
      <c r="Q126" s="18"/>
      <c r="R126" s="18"/>
      <c r="S126" s="18"/>
    </row>
    <row r="127" spans="1:19" x14ac:dyDescent="0.25">
      <c r="A127" s="21" t="s">
        <v>960</v>
      </c>
      <c r="B127" s="46">
        <v>8.53837E-3</v>
      </c>
      <c r="C127" s="252">
        <f t="shared" si="13"/>
        <v>2.7897873993059502E-4</v>
      </c>
      <c r="D127" s="46"/>
      <c r="E127" s="252">
        <f t="shared" si="14"/>
        <v>0</v>
      </c>
      <c r="F127" s="46"/>
      <c r="G127" s="252">
        <f t="shared" si="15"/>
        <v>0</v>
      </c>
      <c r="H127" s="252" t="s">
        <v>240</v>
      </c>
      <c r="I127" s="251">
        <f t="shared" si="12"/>
        <v>-100</v>
      </c>
      <c r="J127" s="250"/>
      <c r="O127" s="18"/>
      <c r="P127" s="18"/>
      <c r="Q127" s="18"/>
      <c r="R127" s="18"/>
      <c r="S127" s="18"/>
    </row>
    <row r="128" spans="1:19" x14ac:dyDescent="0.25">
      <c r="A128" s="21" t="s">
        <v>807</v>
      </c>
      <c r="B128" s="46">
        <v>2.9395200000000002E-3</v>
      </c>
      <c r="C128" s="252">
        <f t="shared" si="13"/>
        <v>9.6044512664686911E-5</v>
      </c>
      <c r="D128" s="46"/>
      <c r="E128" s="252">
        <f t="shared" si="14"/>
        <v>0</v>
      </c>
      <c r="F128" s="46"/>
      <c r="G128" s="252">
        <f t="shared" si="15"/>
        <v>0</v>
      </c>
      <c r="H128" s="252" t="s">
        <v>240</v>
      </c>
      <c r="I128" s="251">
        <f t="shared" si="12"/>
        <v>-100</v>
      </c>
      <c r="J128" s="250"/>
      <c r="O128" s="18"/>
      <c r="P128" s="18"/>
      <c r="Q128" s="18"/>
      <c r="R128" s="18"/>
      <c r="S128" s="18"/>
    </row>
    <row r="129" spans="1:19" x14ac:dyDescent="0.25">
      <c r="A129" s="21" t="s">
        <v>823</v>
      </c>
      <c r="B129" s="46">
        <v>2.1732399999999999E-3</v>
      </c>
      <c r="C129" s="252">
        <f t="shared" si="13"/>
        <v>7.1007435466812315E-5</v>
      </c>
      <c r="D129" s="46"/>
      <c r="E129" s="252">
        <f t="shared" si="14"/>
        <v>0</v>
      </c>
      <c r="F129" s="46"/>
      <c r="G129" s="252">
        <f t="shared" si="15"/>
        <v>0</v>
      </c>
      <c r="H129" s="252" t="s">
        <v>240</v>
      </c>
      <c r="I129" s="251">
        <f t="shared" si="12"/>
        <v>-100</v>
      </c>
      <c r="J129" s="250"/>
      <c r="O129" s="18"/>
      <c r="P129" s="18"/>
      <c r="Q129" s="18"/>
      <c r="R129" s="18"/>
      <c r="S129" s="18"/>
    </row>
    <row r="130" spans="1:19" x14ac:dyDescent="0.25">
      <c r="A130" s="21" t="s">
        <v>746</v>
      </c>
      <c r="B130" s="46">
        <v>1.32106E-3</v>
      </c>
      <c r="C130" s="252">
        <f t="shared" si="13"/>
        <v>4.3163701522973569E-5</v>
      </c>
      <c r="D130" s="46"/>
      <c r="E130" s="252">
        <f t="shared" si="14"/>
        <v>0</v>
      </c>
      <c r="F130" s="46"/>
      <c r="G130" s="252">
        <f t="shared" si="15"/>
        <v>0</v>
      </c>
      <c r="H130" s="252" t="s">
        <v>240</v>
      </c>
      <c r="I130" s="251">
        <f t="shared" si="12"/>
        <v>-100</v>
      </c>
      <c r="J130" s="250"/>
      <c r="O130" s="18"/>
      <c r="P130" s="18"/>
      <c r="Q130" s="18"/>
      <c r="R130" s="18"/>
      <c r="S130" s="18"/>
    </row>
    <row r="131" spans="1:19" x14ac:dyDescent="0.25">
      <c r="A131" s="21" t="s">
        <v>836</v>
      </c>
      <c r="B131" s="46">
        <v>4.5988542699999995</v>
      </c>
      <c r="C131" s="252">
        <f t="shared" si="13"/>
        <v>0.15026083074041488</v>
      </c>
      <c r="D131" s="46"/>
      <c r="E131" s="252">
        <f t="shared" si="14"/>
        <v>0</v>
      </c>
      <c r="F131" s="46"/>
      <c r="G131" s="252">
        <f t="shared" si="15"/>
        <v>0</v>
      </c>
      <c r="H131" s="252" t="s">
        <v>240</v>
      </c>
      <c r="I131" s="251">
        <f t="shared" si="12"/>
        <v>-100</v>
      </c>
      <c r="J131" s="250"/>
      <c r="O131" s="18"/>
      <c r="P131" s="18"/>
      <c r="Q131" s="18"/>
      <c r="R131" s="18"/>
      <c r="S131" s="18"/>
    </row>
    <row r="132" spans="1:19" x14ac:dyDescent="0.25">
      <c r="A132" s="21" t="s">
        <v>937</v>
      </c>
      <c r="B132" s="46">
        <v>0.71858293999999989</v>
      </c>
      <c r="C132" s="252">
        <f t="shared" ref="C132:C159" si="16">(B132/$B$160)*100</f>
        <v>2.3478645588891359E-2</v>
      </c>
      <c r="D132" s="46">
        <v>0.14701263000000001</v>
      </c>
      <c r="E132" s="252">
        <f t="shared" ref="E132:E159" si="17">(D132/$D$160)*100</f>
        <v>6.6228295380731817E-3</v>
      </c>
      <c r="F132" s="46"/>
      <c r="G132" s="252">
        <f t="shared" ref="G132:G159" si="18">(F132/$F$160)*100</f>
        <v>0</v>
      </c>
      <c r="H132" s="252">
        <f t="shared" si="11"/>
        <v>-100</v>
      </c>
      <c r="I132" s="251">
        <f t="shared" si="12"/>
        <v>-100</v>
      </c>
      <c r="J132" s="250"/>
      <c r="O132" s="18"/>
      <c r="P132" s="18"/>
      <c r="Q132" s="18"/>
      <c r="R132" s="18"/>
      <c r="S132" s="18"/>
    </row>
    <row r="133" spans="1:19" x14ac:dyDescent="0.25">
      <c r="A133" s="21" t="s">
        <v>852</v>
      </c>
      <c r="B133" s="46">
        <v>4.8472000000000001E-4</v>
      </c>
      <c r="C133" s="252">
        <f t="shared" si="16"/>
        <v>1.5837516390032058E-5</v>
      </c>
      <c r="D133" s="46"/>
      <c r="E133" s="252">
        <f t="shared" si="17"/>
        <v>0</v>
      </c>
      <c r="F133" s="46"/>
      <c r="G133" s="252">
        <f t="shared" si="18"/>
        <v>0</v>
      </c>
      <c r="H133" s="252" t="s">
        <v>240</v>
      </c>
      <c r="I133" s="251">
        <f t="shared" ref="I133:I159" si="19">((F133/B133)-1)*100</f>
        <v>-100</v>
      </c>
      <c r="O133" s="18"/>
      <c r="P133" s="18"/>
      <c r="Q133" s="18"/>
      <c r="R133" s="18"/>
      <c r="S133" s="18"/>
    </row>
    <row r="134" spans="1:19" x14ac:dyDescent="0.25">
      <c r="A134" s="21" t="s">
        <v>981</v>
      </c>
      <c r="B134" s="46">
        <v>42.781439959999993</v>
      </c>
      <c r="C134" s="252">
        <f t="shared" si="16"/>
        <v>1.3978209204399907</v>
      </c>
      <c r="D134" s="46"/>
      <c r="E134" s="252">
        <f t="shared" si="17"/>
        <v>0</v>
      </c>
      <c r="F134" s="46"/>
      <c r="G134" s="252">
        <f t="shared" si="18"/>
        <v>0</v>
      </c>
      <c r="H134" s="252" t="s">
        <v>240</v>
      </c>
      <c r="I134" s="251">
        <f t="shared" si="19"/>
        <v>-100</v>
      </c>
      <c r="O134" s="18"/>
      <c r="P134" s="18"/>
      <c r="Q134" s="18"/>
      <c r="R134" s="18"/>
      <c r="S134" s="18"/>
    </row>
    <row r="135" spans="1:19" x14ac:dyDescent="0.25">
      <c r="A135" s="21" t="s">
        <v>865</v>
      </c>
      <c r="B135" s="46">
        <v>5.3572763599999984</v>
      </c>
      <c r="C135" s="252">
        <f t="shared" si="16"/>
        <v>0.17504116223269361</v>
      </c>
      <c r="D135" s="46">
        <v>1.6816775800000001</v>
      </c>
      <c r="E135" s="252">
        <f t="shared" si="17"/>
        <v>7.575855183557649E-2</v>
      </c>
      <c r="F135" s="46"/>
      <c r="G135" s="252">
        <f t="shared" si="18"/>
        <v>0</v>
      </c>
      <c r="H135" s="252">
        <f t="shared" ref="H135:H158" si="20">((F135/D135)-1)*100</f>
        <v>-100</v>
      </c>
      <c r="I135" s="251">
        <f t="shared" si="19"/>
        <v>-100</v>
      </c>
      <c r="O135" s="18"/>
      <c r="P135" s="18"/>
      <c r="Q135" s="18"/>
      <c r="R135" s="18"/>
      <c r="S135" s="18"/>
    </row>
    <row r="136" spans="1:19" x14ac:dyDescent="0.25">
      <c r="A136" s="21" t="s">
        <v>863</v>
      </c>
      <c r="B136" s="46">
        <v>2.4150899999999999E-3</v>
      </c>
      <c r="C136" s="252">
        <f t="shared" si="16"/>
        <v>7.8909530158447185E-5</v>
      </c>
      <c r="D136" s="46"/>
      <c r="E136" s="252">
        <f t="shared" si="17"/>
        <v>0</v>
      </c>
      <c r="F136" s="46"/>
      <c r="G136" s="252">
        <f t="shared" si="18"/>
        <v>0</v>
      </c>
      <c r="H136" s="252" t="s">
        <v>240</v>
      </c>
      <c r="I136" s="251">
        <f t="shared" si="19"/>
        <v>-100</v>
      </c>
      <c r="O136" s="18"/>
      <c r="P136" s="18"/>
      <c r="Q136" s="18"/>
      <c r="R136" s="18"/>
      <c r="S136" s="18"/>
    </row>
    <row r="137" spans="1:19" x14ac:dyDescent="0.25">
      <c r="A137" s="21" t="s">
        <v>756</v>
      </c>
      <c r="B137" s="46">
        <v>6.8845489899999999</v>
      </c>
      <c r="C137" s="252">
        <f t="shared" si="16"/>
        <v>0.22494255955418313</v>
      </c>
      <c r="D137" s="46">
        <v>7.8125490000000006E-2</v>
      </c>
      <c r="E137" s="252">
        <f t="shared" si="17"/>
        <v>3.5195057924509005E-3</v>
      </c>
      <c r="F137" s="46"/>
      <c r="G137" s="252">
        <f t="shared" si="18"/>
        <v>0</v>
      </c>
      <c r="H137" s="252">
        <f t="shared" si="20"/>
        <v>-100</v>
      </c>
      <c r="I137" s="251">
        <f t="shared" si="19"/>
        <v>-100</v>
      </c>
      <c r="O137" s="18"/>
      <c r="P137" s="18"/>
      <c r="Q137" s="18"/>
      <c r="R137" s="18"/>
      <c r="S137" s="18"/>
    </row>
    <row r="138" spans="1:19" x14ac:dyDescent="0.25">
      <c r="A138" s="21" t="s">
        <v>882</v>
      </c>
      <c r="B138" s="46">
        <v>8.6106509999999997E-2</v>
      </c>
      <c r="C138" s="252">
        <f t="shared" si="16"/>
        <v>2.8134041578921011E-3</v>
      </c>
      <c r="D138" s="46"/>
      <c r="E138" s="252">
        <f t="shared" si="17"/>
        <v>0</v>
      </c>
      <c r="F138" s="46"/>
      <c r="G138" s="252">
        <f t="shared" si="18"/>
        <v>0</v>
      </c>
      <c r="H138" s="252" t="s">
        <v>240</v>
      </c>
      <c r="I138" s="251">
        <f t="shared" si="19"/>
        <v>-100</v>
      </c>
      <c r="O138" s="18"/>
      <c r="P138" s="18"/>
      <c r="Q138" s="18"/>
      <c r="R138" s="18"/>
      <c r="S138" s="18"/>
    </row>
    <row r="139" spans="1:19" x14ac:dyDescent="0.25">
      <c r="A139" s="21" t="s">
        <v>854</v>
      </c>
      <c r="B139" s="46">
        <v>1.9498379999999999E-2</v>
      </c>
      <c r="C139" s="252">
        <f t="shared" si="16"/>
        <v>6.3708102168070894E-4</v>
      </c>
      <c r="D139" s="46"/>
      <c r="E139" s="252">
        <f t="shared" si="17"/>
        <v>0</v>
      </c>
      <c r="F139" s="46"/>
      <c r="G139" s="252">
        <f t="shared" si="18"/>
        <v>0</v>
      </c>
      <c r="H139" s="252" t="s">
        <v>240</v>
      </c>
      <c r="I139" s="251">
        <f t="shared" si="19"/>
        <v>-100</v>
      </c>
      <c r="O139" s="18"/>
      <c r="P139" s="18"/>
      <c r="Q139" s="18"/>
      <c r="R139" s="18"/>
      <c r="S139" s="18"/>
    </row>
    <row r="140" spans="1:19" x14ac:dyDescent="0.25">
      <c r="A140" s="21" t="s">
        <v>817</v>
      </c>
      <c r="B140" s="46">
        <v>2.16051E-3</v>
      </c>
      <c r="C140" s="252">
        <f t="shared" si="16"/>
        <v>7.0591501353004131E-5</v>
      </c>
      <c r="D140" s="46"/>
      <c r="E140" s="252">
        <f t="shared" si="17"/>
        <v>0</v>
      </c>
      <c r="F140" s="46"/>
      <c r="G140" s="252">
        <f t="shared" si="18"/>
        <v>0</v>
      </c>
      <c r="H140" s="252" t="s">
        <v>240</v>
      </c>
      <c r="I140" s="251">
        <f t="shared" si="19"/>
        <v>-100</v>
      </c>
      <c r="O140" s="18"/>
      <c r="P140" s="18"/>
      <c r="Q140" s="18"/>
      <c r="R140" s="18"/>
      <c r="S140" s="18"/>
    </row>
    <row r="141" spans="1:19" x14ac:dyDescent="0.25">
      <c r="A141" s="21" t="s">
        <v>920</v>
      </c>
      <c r="B141" s="46">
        <v>0.36525149000000001</v>
      </c>
      <c r="C141" s="252">
        <f t="shared" si="16"/>
        <v>1.1934057722723697E-2</v>
      </c>
      <c r="D141" s="46"/>
      <c r="E141" s="252">
        <f t="shared" si="17"/>
        <v>0</v>
      </c>
      <c r="F141" s="46"/>
      <c r="G141" s="252">
        <f t="shared" si="18"/>
        <v>0</v>
      </c>
      <c r="H141" s="252" t="s">
        <v>240</v>
      </c>
      <c r="I141" s="251">
        <f t="shared" si="19"/>
        <v>-100</v>
      </c>
      <c r="O141" s="18"/>
      <c r="P141" s="18"/>
      <c r="Q141" s="18"/>
      <c r="R141" s="18"/>
      <c r="S141" s="18"/>
    </row>
    <row r="142" spans="1:19" x14ac:dyDescent="0.25">
      <c r="A142" s="21" t="s">
        <v>840</v>
      </c>
      <c r="B142" s="46">
        <v>0.15975579999999998</v>
      </c>
      <c r="C142" s="252">
        <f t="shared" si="16"/>
        <v>5.2197868891374049E-3</v>
      </c>
      <c r="D142" s="46"/>
      <c r="E142" s="252">
        <f t="shared" si="17"/>
        <v>0</v>
      </c>
      <c r="F142" s="46"/>
      <c r="G142" s="252">
        <f t="shared" si="18"/>
        <v>0</v>
      </c>
      <c r="H142" s="252" t="s">
        <v>240</v>
      </c>
      <c r="I142" s="251">
        <f t="shared" si="19"/>
        <v>-100</v>
      </c>
      <c r="O142" s="18"/>
      <c r="P142" s="18"/>
      <c r="Q142" s="18"/>
      <c r="R142" s="18"/>
      <c r="S142" s="18"/>
    </row>
    <row r="143" spans="1:19" x14ac:dyDescent="0.25">
      <c r="A143" s="21" t="s">
        <v>878</v>
      </c>
      <c r="B143" s="46">
        <v>1.863923E-2</v>
      </c>
      <c r="C143" s="252">
        <f t="shared" si="16"/>
        <v>6.0900955319066101E-4</v>
      </c>
      <c r="D143" s="46"/>
      <c r="E143" s="252">
        <f t="shared" si="17"/>
        <v>0</v>
      </c>
      <c r="F143" s="46"/>
      <c r="G143" s="252">
        <f t="shared" si="18"/>
        <v>0</v>
      </c>
      <c r="H143" s="252" t="s">
        <v>240</v>
      </c>
      <c r="I143" s="251">
        <f t="shared" si="19"/>
        <v>-100</v>
      </c>
      <c r="O143" s="18"/>
      <c r="P143" s="18"/>
      <c r="Q143" s="18"/>
      <c r="R143" s="18"/>
      <c r="S143" s="18"/>
    </row>
    <row r="144" spans="1:19" x14ac:dyDescent="0.25">
      <c r="A144" s="21" t="s">
        <v>463</v>
      </c>
      <c r="B144" s="46">
        <v>0.16552768000000001</v>
      </c>
      <c r="C144" s="252">
        <f t="shared" si="16"/>
        <v>5.408374618344574E-3</v>
      </c>
      <c r="D144" s="46"/>
      <c r="E144" s="252">
        <f t="shared" si="17"/>
        <v>0</v>
      </c>
      <c r="F144" s="46"/>
      <c r="G144" s="252">
        <f t="shared" si="18"/>
        <v>0</v>
      </c>
      <c r="H144" s="252" t="s">
        <v>240</v>
      </c>
      <c r="I144" s="251">
        <f t="shared" si="19"/>
        <v>-100</v>
      </c>
      <c r="O144" s="18"/>
      <c r="P144" s="18"/>
      <c r="Q144" s="18"/>
      <c r="R144" s="18"/>
      <c r="S144" s="18"/>
    </row>
    <row r="145" spans="1:19" x14ac:dyDescent="0.25">
      <c r="A145" s="21" t="s">
        <v>867</v>
      </c>
      <c r="B145" s="46">
        <v>7.0705899999999999E-3</v>
      </c>
      <c r="C145" s="252">
        <f t="shared" si="16"/>
        <v>2.3102117719961369E-4</v>
      </c>
      <c r="D145" s="46"/>
      <c r="E145" s="252">
        <f t="shared" si="17"/>
        <v>0</v>
      </c>
      <c r="F145" s="46"/>
      <c r="G145" s="252">
        <f t="shared" si="18"/>
        <v>0</v>
      </c>
      <c r="H145" s="252" t="s">
        <v>240</v>
      </c>
      <c r="I145" s="251">
        <f t="shared" si="19"/>
        <v>-100</v>
      </c>
      <c r="O145" s="18"/>
      <c r="P145" s="18"/>
      <c r="Q145" s="18"/>
      <c r="R145" s="18"/>
      <c r="S145" s="18"/>
    </row>
    <row r="146" spans="1:19" x14ac:dyDescent="0.25">
      <c r="A146" s="21" t="s">
        <v>743</v>
      </c>
      <c r="B146" s="46"/>
      <c r="C146" s="252">
        <f t="shared" si="16"/>
        <v>0</v>
      </c>
      <c r="D146" s="46">
        <v>0.38500000000000001</v>
      </c>
      <c r="E146" s="252">
        <f t="shared" si="17"/>
        <v>1.7344015763531166E-2</v>
      </c>
      <c r="F146" s="46"/>
      <c r="G146" s="252">
        <f t="shared" si="18"/>
        <v>0</v>
      </c>
      <c r="H146" s="252">
        <f t="shared" si="20"/>
        <v>-100</v>
      </c>
      <c r="I146" s="251" t="s">
        <v>240</v>
      </c>
      <c r="O146" s="18"/>
      <c r="P146" s="18"/>
      <c r="Q146" s="18"/>
      <c r="R146" s="18"/>
      <c r="S146" s="18"/>
    </row>
    <row r="147" spans="1:19" x14ac:dyDescent="0.25">
      <c r="A147" s="21" t="s">
        <v>765</v>
      </c>
      <c r="B147" s="46">
        <v>8.2589699999999992E-3</v>
      </c>
      <c r="C147" s="252">
        <f t="shared" si="16"/>
        <v>2.6984975396060208E-4</v>
      </c>
      <c r="D147" s="46"/>
      <c r="E147" s="252">
        <f t="shared" si="17"/>
        <v>0</v>
      </c>
      <c r="F147" s="46"/>
      <c r="G147" s="252">
        <f t="shared" si="18"/>
        <v>0</v>
      </c>
      <c r="H147" s="252" t="s">
        <v>240</v>
      </c>
      <c r="I147" s="251">
        <f t="shared" si="19"/>
        <v>-100</v>
      </c>
      <c r="O147" s="18"/>
      <c r="P147" s="18"/>
      <c r="Q147" s="18"/>
      <c r="R147" s="18"/>
      <c r="S147" s="18"/>
    </row>
    <row r="148" spans="1:19" x14ac:dyDescent="0.25">
      <c r="A148" s="21" t="s">
        <v>849</v>
      </c>
      <c r="B148" s="46">
        <v>5.7473999999999997E-3</v>
      </c>
      <c r="C148" s="252">
        <f t="shared" si="16"/>
        <v>1.8778788104487177E-4</v>
      </c>
      <c r="D148" s="46"/>
      <c r="E148" s="252">
        <f t="shared" si="17"/>
        <v>0</v>
      </c>
      <c r="F148" s="46"/>
      <c r="G148" s="252">
        <f t="shared" si="18"/>
        <v>0</v>
      </c>
      <c r="H148" s="252" t="s">
        <v>240</v>
      </c>
      <c r="I148" s="251">
        <f t="shared" si="19"/>
        <v>-100</v>
      </c>
      <c r="O148" s="18"/>
      <c r="P148" s="18"/>
      <c r="Q148" s="18"/>
      <c r="R148" s="18"/>
      <c r="S148" s="18"/>
    </row>
    <row r="149" spans="1:19" x14ac:dyDescent="0.25">
      <c r="A149" s="21" t="s">
        <v>924</v>
      </c>
      <c r="B149" s="46">
        <v>6.4782799999999995E-3</v>
      </c>
      <c r="C149" s="252">
        <f t="shared" si="16"/>
        <v>2.1166831506687749E-4</v>
      </c>
      <c r="D149" s="46"/>
      <c r="E149" s="252">
        <f t="shared" si="17"/>
        <v>0</v>
      </c>
      <c r="F149" s="46"/>
      <c r="G149" s="252">
        <f t="shared" si="18"/>
        <v>0</v>
      </c>
      <c r="H149" s="252" t="s">
        <v>240</v>
      </c>
      <c r="I149" s="251">
        <f t="shared" si="19"/>
        <v>-100</v>
      </c>
      <c r="O149" s="18"/>
      <c r="P149" s="18"/>
      <c r="Q149" s="18"/>
      <c r="R149" s="18"/>
      <c r="S149" s="18"/>
    </row>
    <row r="150" spans="1:19" x14ac:dyDescent="0.25">
      <c r="A150" s="21" t="s">
        <v>923</v>
      </c>
      <c r="B150" s="46">
        <v>1.9825699999999998E-2</v>
      </c>
      <c r="C150" s="252">
        <f t="shared" si="16"/>
        <v>6.4777572349781012E-4</v>
      </c>
      <c r="D150" s="46"/>
      <c r="E150" s="252">
        <f t="shared" si="17"/>
        <v>0</v>
      </c>
      <c r="F150" s="46"/>
      <c r="G150" s="252">
        <f t="shared" si="18"/>
        <v>0</v>
      </c>
      <c r="H150" s="252" t="s">
        <v>240</v>
      </c>
      <c r="I150" s="251">
        <f t="shared" si="19"/>
        <v>-100</v>
      </c>
      <c r="O150" s="18"/>
      <c r="P150" s="18"/>
      <c r="Q150" s="18"/>
      <c r="R150" s="18"/>
      <c r="S150" s="18"/>
    </row>
    <row r="151" spans="1:19" x14ac:dyDescent="0.25">
      <c r="A151" s="21" t="s">
        <v>888</v>
      </c>
      <c r="B151" s="46">
        <v>7.8500910000000007E-2</v>
      </c>
      <c r="C151" s="252">
        <f t="shared" si="16"/>
        <v>2.5649023121749287E-3</v>
      </c>
      <c r="D151" s="46"/>
      <c r="E151" s="252">
        <f t="shared" si="17"/>
        <v>0</v>
      </c>
      <c r="F151" s="46"/>
      <c r="G151" s="252">
        <f t="shared" si="18"/>
        <v>0</v>
      </c>
      <c r="H151" s="252" t="s">
        <v>240</v>
      </c>
      <c r="I151" s="251">
        <f t="shared" si="19"/>
        <v>-100</v>
      </c>
      <c r="O151" s="18"/>
      <c r="P151" s="18"/>
      <c r="Q151" s="18"/>
      <c r="R151" s="18"/>
      <c r="S151" s="18"/>
    </row>
    <row r="152" spans="1:19" x14ac:dyDescent="0.25">
      <c r="A152" s="21" t="s">
        <v>866</v>
      </c>
      <c r="B152" s="46">
        <v>3.6725300000000002E-2</v>
      </c>
      <c r="C152" s="252">
        <f t="shared" si="16"/>
        <v>1.1999454131846104E-3</v>
      </c>
      <c r="D152" s="46"/>
      <c r="E152" s="252">
        <f t="shared" si="17"/>
        <v>0</v>
      </c>
      <c r="F152" s="46"/>
      <c r="G152" s="252">
        <f t="shared" si="18"/>
        <v>0</v>
      </c>
      <c r="H152" s="252" t="s">
        <v>240</v>
      </c>
      <c r="I152" s="251">
        <f t="shared" si="19"/>
        <v>-100</v>
      </c>
      <c r="O152" s="18"/>
      <c r="P152" s="18"/>
      <c r="Q152" s="18"/>
      <c r="R152" s="18"/>
      <c r="S152" s="18"/>
    </row>
    <row r="153" spans="1:19" x14ac:dyDescent="0.25">
      <c r="A153" s="21" t="s">
        <v>933</v>
      </c>
      <c r="B153" s="46">
        <v>0.27901340000000002</v>
      </c>
      <c r="C153" s="252">
        <f t="shared" si="16"/>
        <v>9.1163543809592573E-3</v>
      </c>
      <c r="D153" s="46"/>
      <c r="E153" s="252">
        <f t="shared" si="17"/>
        <v>0</v>
      </c>
      <c r="F153" s="46"/>
      <c r="G153" s="252">
        <f t="shared" si="18"/>
        <v>0</v>
      </c>
      <c r="H153" s="252" t="s">
        <v>240</v>
      </c>
      <c r="I153" s="251">
        <f t="shared" si="19"/>
        <v>-100</v>
      </c>
      <c r="O153" s="18"/>
      <c r="P153" s="18"/>
      <c r="Q153" s="18"/>
      <c r="R153" s="18"/>
      <c r="S153" s="18"/>
    </row>
    <row r="154" spans="1:19" x14ac:dyDescent="0.25">
      <c r="A154" s="21" t="s">
        <v>813</v>
      </c>
      <c r="B154" s="46">
        <v>1.6936389999999999E-2</v>
      </c>
      <c r="C154" s="252">
        <f t="shared" si="16"/>
        <v>5.533717490777666E-4</v>
      </c>
      <c r="D154" s="46"/>
      <c r="E154" s="252">
        <f t="shared" si="17"/>
        <v>0</v>
      </c>
      <c r="F154" s="46"/>
      <c r="G154" s="252">
        <f t="shared" si="18"/>
        <v>0</v>
      </c>
      <c r="H154" s="252" t="s">
        <v>240</v>
      </c>
      <c r="I154" s="251">
        <f t="shared" si="19"/>
        <v>-100</v>
      </c>
      <c r="O154" s="18"/>
      <c r="P154" s="18"/>
      <c r="Q154" s="18"/>
      <c r="R154" s="18"/>
      <c r="S154" s="18"/>
    </row>
    <row r="155" spans="1:19" x14ac:dyDescent="0.25">
      <c r="A155" s="21" t="s">
        <v>812</v>
      </c>
      <c r="B155" s="46">
        <v>2.3721199999999997E-3</v>
      </c>
      <c r="C155" s="252">
        <f t="shared" si="16"/>
        <v>7.750554831474426E-5</v>
      </c>
      <c r="D155" s="46"/>
      <c r="E155" s="252">
        <f t="shared" si="17"/>
        <v>0</v>
      </c>
      <c r="F155" s="46"/>
      <c r="G155" s="252">
        <f t="shared" si="18"/>
        <v>0</v>
      </c>
      <c r="H155" s="252" t="s">
        <v>240</v>
      </c>
      <c r="I155" s="251">
        <f t="shared" si="19"/>
        <v>-100</v>
      </c>
      <c r="O155" s="18"/>
      <c r="P155" s="18"/>
      <c r="Q155" s="18"/>
      <c r="R155" s="18"/>
      <c r="S155" s="18"/>
    </row>
    <row r="156" spans="1:19" x14ac:dyDescent="0.25">
      <c r="A156" s="21" t="s">
        <v>799</v>
      </c>
      <c r="B156" s="46">
        <v>8.778656E-2</v>
      </c>
      <c r="C156" s="252">
        <f t="shared" si="16"/>
        <v>2.8682973321186096E-3</v>
      </c>
      <c r="D156" s="46"/>
      <c r="E156" s="252">
        <f t="shared" si="17"/>
        <v>0</v>
      </c>
      <c r="F156" s="46"/>
      <c r="G156" s="252">
        <f t="shared" si="18"/>
        <v>0</v>
      </c>
      <c r="H156" s="252" t="s">
        <v>240</v>
      </c>
      <c r="I156" s="251">
        <f t="shared" si="19"/>
        <v>-100</v>
      </c>
      <c r="O156" s="18"/>
      <c r="P156" s="18"/>
      <c r="Q156" s="18"/>
      <c r="R156" s="18"/>
      <c r="S156" s="18"/>
    </row>
    <row r="157" spans="1:19" x14ac:dyDescent="0.25">
      <c r="A157" s="21" t="s">
        <v>898</v>
      </c>
      <c r="B157" s="46">
        <v>0.63762336000000008</v>
      </c>
      <c r="C157" s="252">
        <f t="shared" si="16"/>
        <v>2.0833409833857303E-2</v>
      </c>
      <c r="D157" s="46">
        <v>1.102998E-2</v>
      </c>
      <c r="E157" s="252">
        <f t="shared" si="17"/>
        <v>4.9689388828943765E-4</v>
      </c>
      <c r="F157" s="46"/>
      <c r="G157" s="252">
        <f t="shared" si="18"/>
        <v>0</v>
      </c>
      <c r="H157" s="252">
        <f t="shared" si="20"/>
        <v>-100</v>
      </c>
      <c r="I157" s="251">
        <f t="shared" si="19"/>
        <v>-100</v>
      </c>
      <c r="O157" s="18"/>
      <c r="P157" s="18"/>
      <c r="Q157" s="18"/>
      <c r="R157" s="18"/>
      <c r="S157" s="18"/>
    </row>
    <row r="158" spans="1:19" x14ac:dyDescent="0.25">
      <c r="A158" s="21" t="s">
        <v>837</v>
      </c>
      <c r="B158" s="46">
        <v>9.2930400000000007E-3</v>
      </c>
      <c r="C158" s="252">
        <f t="shared" si="16"/>
        <v>3.0363647737502789E-4</v>
      </c>
      <c r="D158" s="46">
        <v>1.5605199999999999E-3</v>
      </c>
      <c r="E158" s="252">
        <f t="shared" si="17"/>
        <v>7.0300476569625073E-5</v>
      </c>
      <c r="F158" s="46"/>
      <c r="G158" s="252">
        <f t="shared" si="18"/>
        <v>0</v>
      </c>
      <c r="H158" s="252">
        <f t="shared" si="20"/>
        <v>-100</v>
      </c>
      <c r="I158" s="251">
        <f t="shared" si="19"/>
        <v>-100</v>
      </c>
      <c r="O158" s="18"/>
      <c r="P158" s="18"/>
      <c r="Q158" s="18"/>
      <c r="R158" s="18"/>
      <c r="S158" s="18"/>
    </row>
    <row r="159" spans="1:19" x14ac:dyDescent="0.25">
      <c r="A159" s="52" t="s">
        <v>755</v>
      </c>
      <c r="B159" s="47">
        <v>2.5538560000000002E-2</v>
      </c>
      <c r="C159" s="252">
        <f t="shared" si="16"/>
        <v>8.3443506060780883E-4</v>
      </c>
      <c r="D159" s="47"/>
      <c r="E159" s="252">
        <f t="shared" si="17"/>
        <v>0</v>
      </c>
      <c r="F159" s="47"/>
      <c r="G159" s="252">
        <f t="shared" si="18"/>
        <v>0</v>
      </c>
      <c r="H159" s="252" t="s">
        <v>240</v>
      </c>
      <c r="I159" s="251">
        <f t="shared" si="19"/>
        <v>-100</v>
      </c>
      <c r="O159" s="18"/>
      <c r="P159" s="18"/>
      <c r="Q159" s="18"/>
      <c r="R159" s="18"/>
      <c r="S159" s="18"/>
    </row>
    <row r="160" spans="1:19" ht="13" x14ac:dyDescent="0.3">
      <c r="A160" s="249" t="s">
        <v>217</v>
      </c>
      <c r="B160" s="248">
        <f t="shared" ref="B160:G160" si="21">SUM(B4:B159)</f>
        <v>3060.580889469999</v>
      </c>
      <c r="C160" s="248">
        <f t="shared" si="21"/>
        <v>100.00000000000001</v>
      </c>
      <c r="D160" s="248">
        <f t="shared" si="21"/>
        <v>2219.7858053699997</v>
      </c>
      <c r="E160" s="248">
        <f t="shared" si="21"/>
        <v>99.999999999999943</v>
      </c>
      <c r="F160" s="248">
        <f t="shared" si="21"/>
        <v>2502.1796843100001</v>
      </c>
      <c r="G160" s="248">
        <f t="shared" si="21"/>
        <v>100.00000000000001</v>
      </c>
      <c r="H160" s="247">
        <f>((F160/D160)-1)*100</f>
        <v>12.721672436000198</v>
      </c>
      <c r="I160" s="247">
        <f>((F160/B160)-1)*100</f>
        <v>-18.244941902407852</v>
      </c>
      <c r="N160" s="18"/>
      <c r="O160" s="18"/>
      <c r="P160" s="18"/>
      <c r="Q160" s="18"/>
      <c r="R160" s="18"/>
    </row>
    <row r="161" spans="14:18" x14ac:dyDescent="0.25">
      <c r="N161" s="18"/>
      <c r="O161" s="18"/>
      <c r="P161" s="18"/>
      <c r="Q161" s="18"/>
      <c r="R161" s="18"/>
    </row>
    <row r="162" spans="14:18" x14ac:dyDescent="0.25">
      <c r="N162" s="18"/>
      <c r="O162" s="18"/>
      <c r="P162" s="18"/>
      <c r="Q162" s="18"/>
      <c r="R162" s="18"/>
    </row>
    <row r="163" spans="14:18" x14ac:dyDescent="0.25">
      <c r="N163" s="18"/>
      <c r="O163" s="18"/>
      <c r="P163" s="18"/>
      <c r="Q163" s="18"/>
      <c r="R163" s="18"/>
    </row>
    <row r="164" spans="14:18" x14ac:dyDescent="0.25">
      <c r="N164" s="18"/>
      <c r="O164" s="18"/>
      <c r="P164" s="18"/>
      <c r="Q164" s="18"/>
      <c r="R164" s="18"/>
    </row>
    <row r="165" spans="14:18" x14ac:dyDescent="0.25">
      <c r="N165" s="18"/>
      <c r="O165" s="18"/>
      <c r="P165" s="18"/>
      <c r="Q165" s="18"/>
      <c r="R165" s="18"/>
    </row>
    <row r="166" spans="14:18" x14ac:dyDescent="0.25">
      <c r="N166" s="18"/>
      <c r="O166" s="18"/>
      <c r="P166" s="18"/>
      <c r="Q166" s="18"/>
      <c r="R166" s="18"/>
    </row>
    <row r="167" spans="14:18" x14ac:dyDescent="0.25">
      <c r="N167" s="18"/>
      <c r="O167" s="18"/>
      <c r="P167" s="18"/>
      <c r="Q167" s="18"/>
      <c r="R167" s="18"/>
    </row>
    <row r="168" spans="14:18" x14ac:dyDescent="0.25">
      <c r="N168" s="18"/>
      <c r="O168" s="18"/>
      <c r="P168" s="18"/>
      <c r="Q168" s="18"/>
      <c r="R168" s="18"/>
    </row>
    <row r="169" spans="14:18" x14ac:dyDescent="0.25">
      <c r="N169" s="18"/>
      <c r="O169" s="18"/>
      <c r="P169" s="18"/>
      <c r="Q169" s="18"/>
      <c r="R169" s="18"/>
    </row>
    <row r="170" spans="14:18" x14ac:dyDescent="0.25">
      <c r="N170" s="18"/>
      <c r="O170" s="18"/>
      <c r="P170" s="18"/>
      <c r="Q170" s="18"/>
      <c r="R170" s="18"/>
    </row>
    <row r="171" spans="14:18" x14ac:dyDescent="0.25">
      <c r="N171" s="18"/>
      <c r="O171" s="18"/>
      <c r="P171" s="18"/>
      <c r="Q171" s="18"/>
      <c r="R171" s="18"/>
    </row>
    <row r="172" spans="14:18" x14ac:dyDescent="0.25">
      <c r="N172" s="18"/>
      <c r="O172" s="18"/>
      <c r="P172" s="18"/>
      <c r="Q172" s="18"/>
      <c r="R172" s="18"/>
    </row>
    <row r="173" spans="14:18" x14ac:dyDescent="0.25">
      <c r="N173" s="18"/>
      <c r="O173" s="18"/>
      <c r="P173" s="18"/>
      <c r="Q173" s="18"/>
      <c r="R173" s="18"/>
    </row>
    <row r="174" spans="14:18" x14ac:dyDescent="0.25">
      <c r="N174" s="18"/>
      <c r="O174" s="18"/>
      <c r="P174" s="18"/>
      <c r="Q174" s="18"/>
      <c r="R174" s="18"/>
    </row>
    <row r="175" spans="14:18" x14ac:dyDescent="0.25">
      <c r="N175" s="18"/>
      <c r="O175" s="18"/>
      <c r="P175" s="18"/>
      <c r="Q175" s="18"/>
      <c r="R175" s="18"/>
    </row>
    <row r="176" spans="14:18" x14ac:dyDescent="0.25">
      <c r="N176" s="18"/>
      <c r="O176" s="18"/>
      <c r="P176" s="18"/>
      <c r="Q176" s="18"/>
      <c r="R176" s="18"/>
    </row>
    <row r="177" spans="14:18" x14ac:dyDescent="0.25">
      <c r="N177" s="18"/>
      <c r="O177" s="18"/>
      <c r="P177" s="18"/>
      <c r="Q177" s="18"/>
      <c r="R177" s="18"/>
    </row>
    <row r="178" spans="14:18" x14ac:dyDescent="0.25">
      <c r="N178" s="18"/>
      <c r="O178" s="18"/>
      <c r="P178" s="18"/>
      <c r="Q178" s="18"/>
      <c r="R178" s="18"/>
    </row>
    <row r="179" spans="14:18" x14ac:dyDescent="0.25">
      <c r="N179" s="18"/>
      <c r="O179" s="18"/>
      <c r="P179" s="18"/>
      <c r="Q179" s="18"/>
      <c r="R179" s="18"/>
    </row>
    <row r="180" spans="14:18" x14ac:dyDescent="0.25">
      <c r="N180" s="18"/>
      <c r="O180" s="18"/>
      <c r="P180" s="18"/>
      <c r="Q180" s="18"/>
      <c r="R180" s="18"/>
    </row>
    <row r="181" spans="14:18" x14ac:dyDescent="0.25">
      <c r="N181" s="18"/>
      <c r="O181" s="18"/>
      <c r="P181" s="18"/>
      <c r="Q181" s="18"/>
      <c r="R181" s="18"/>
    </row>
    <row r="182" spans="14:18" x14ac:dyDescent="0.25">
      <c r="N182" s="18"/>
      <c r="O182" s="18"/>
      <c r="P182" s="18"/>
      <c r="Q182" s="18"/>
      <c r="R182" s="18"/>
    </row>
    <row r="183" spans="14:18" x14ac:dyDescent="0.25">
      <c r="N183" s="18"/>
      <c r="O183" s="18"/>
      <c r="P183" s="18"/>
      <c r="Q183" s="18"/>
      <c r="R183" s="18"/>
    </row>
    <row r="184" spans="14:18" x14ac:dyDescent="0.25">
      <c r="N184" s="18"/>
      <c r="O184" s="18"/>
      <c r="P184" s="18"/>
      <c r="Q184" s="18"/>
      <c r="R184" s="18"/>
    </row>
    <row r="185" spans="14:18" x14ac:dyDescent="0.25">
      <c r="N185" s="18"/>
      <c r="O185" s="18"/>
      <c r="P185" s="18"/>
      <c r="Q185" s="18"/>
      <c r="R185" s="18"/>
    </row>
    <row r="186" spans="14:18" x14ac:dyDescent="0.25">
      <c r="N186" s="18"/>
      <c r="O186" s="18"/>
      <c r="P186" s="18"/>
      <c r="Q186" s="18"/>
      <c r="R186" s="18"/>
    </row>
    <row r="187" spans="14:18" x14ac:dyDescent="0.25">
      <c r="N187" s="18"/>
      <c r="O187" s="18"/>
      <c r="P187" s="18"/>
      <c r="Q187" s="18"/>
      <c r="R187" s="18"/>
    </row>
    <row r="188" spans="14:18" x14ac:dyDescent="0.25">
      <c r="N188" s="18"/>
      <c r="O188" s="18"/>
      <c r="P188" s="18"/>
      <c r="Q188" s="18"/>
      <c r="R188" s="18"/>
    </row>
    <row r="189" spans="14:18" x14ac:dyDescent="0.25">
      <c r="N189" s="18"/>
      <c r="O189" s="18"/>
      <c r="P189" s="18"/>
      <c r="Q189" s="18"/>
      <c r="R189" s="18"/>
    </row>
    <row r="190" spans="14:18" x14ac:dyDescent="0.25">
      <c r="N190" s="18"/>
      <c r="O190" s="18"/>
      <c r="P190" s="18"/>
      <c r="Q190" s="18"/>
      <c r="R190" s="18"/>
    </row>
    <row r="191" spans="14:18" x14ac:dyDescent="0.25">
      <c r="N191" s="18"/>
      <c r="O191" s="18"/>
      <c r="P191" s="18"/>
      <c r="Q191" s="18"/>
      <c r="R191" s="18"/>
    </row>
    <row r="192" spans="14:18" x14ac:dyDescent="0.25">
      <c r="N192" s="18"/>
      <c r="O192" s="18"/>
      <c r="P192" s="18"/>
      <c r="Q192" s="18"/>
      <c r="R192" s="18"/>
    </row>
    <row r="193" spans="14:18" x14ac:dyDescent="0.25">
      <c r="N193" s="18"/>
      <c r="O193" s="18"/>
      <c r="P193" s="18"/>
      <c r="Q193" s="18"/>
      <c r="R193" s="18"/>
    </row>
    <row r="194" spans="14:18" x14ac:dyDescent="0.25">
      <c r="N194" s="18"/>
      <c r="O194" s="18"/>
      <c r="P194" s="18"/>
      <c r="Q194" s="18"/>
      <c r="R194" s="18"/>
    </row>
    <row r="195" spans="14:18" x14ac:dyDescent="0.25">
      <c r="N195" s="18"/>
      <c r="O195" s="18"/>
      <c r="P195" s="18"/>
      <c r="Q195" s="18"/>
      <c r="R195" s="18"/>
    </row>
    <row r="196" spans="14:18" x14ac:dyDescent="0.25">
      <c r="N196" s="18"/>
      <c r="O196" s="18"/>
      <c r="P196" s="18"/>
      <c r="Q196" s="18"/>
      <c r="R196" s="18"/>
    </row>
    <row r="197" spans="14:18" x14ac:dyDescent="0.25">
      <c r="N197" s="18"/>
      <c r="O197" s="18"/>
      <c r="P197" s="18"/>
      <c r="Q197" s="18"/>
      <c r="R197" s="18"/>
    </row>
    <row r="198" spans="14:18" x14ac:dyDescent="0.25">
      <c r="N198" s="18"/>
      <c r="O198" s="18"/>
      <c r="P198" s="18"/>
      <c r="Q198" s="18"/>
      <c r="R198" s="18"/>
    </row>
    <row r="199" spans="14:18" x14ac:dyDescent="0.25">
      <c r="N199" s="18"/>
      <c r="O199" s="18"/>
      <c r="P199" s="18"/>
      <c r="Q199" s="18"/>
      <c r="R199" s="18"/>
    </row>
    <row r="200" spans="14:18" x14ac:dyDescent="0.25">
      <c r="N200" s="18"/>
      <c r="O200" s="18"/>
      <c r="P200" s="18"/>
      <c r="Q200" s="18"/>
      <c r="R200" s="18"/>
    </row>
    <row r="201" spans="14:18" x14ac:dyDescent="0.25">
      <c r="N201" s="18"/>
      <c r="O201" s="18"/>
      <c r="P201" s="18"/>
      <c r="Q201" s="18"/>
      <c r="R201" s="18"/>
    </row>
    <row r="202" spans="14:18" x14ac:dyDescent="0.25">
      <c r="N202" s="18"/>
      <c r="O202" s="18"/>
      <c r="P202" s="18"/>
      <c r="Q202" s="18"/>
      <c r="R202" s="18"/>
    </row>
    <row r="203" spans="14:18" x14ac:dyDescent="0.25">
      <c r="N203" s="18"/>
      <c r="O203" s="18"/>
      <c r="P203" s="18"/>
      <c r="Q203" s="18"/>
      <c r="R203" s="18"/>
    </row>
    <row r="204" spans="14:18" x14ac:dyDescent="0.25">
      <c r="N204" s="18"/>
      <c r="O204" s="18"/>
      <c r="P204" s="18"/>
      <c r="Q204" s="18"/>
      <c r="R204" s="18"/>
    </row>
    <row r="205" spans="14:18" x14ac:dyDescent="0.25">
      <c r="N205" s="18"/>
      <c r="O205" s="18"/>
      <c r="P205" s="18"/>
      <c r="Q205" s="18"/>
      <c r="R205" s="18"/>
    </row>
    <row r="206" spans="14:18" x14ac:dyDescent="0.25">
      <c r="N206" s="18"/>
      <c r="O206" s="18"/>
      <c r="P206" s="18"/>
      <c r="Q206" s="18"/>
      <c r="R206" s="18"/>
    </row>
  </sheetData>
  <sortState xmlns:xlrd2="http://schemas.microsoft.com/office/spreadsheetml/2017/richdata2" ref="N3:T159">
    <sortCondition descending="1" ref="S3:S159"/>
  </sortState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B7778F1C-A833-4C2B-B997-8484B493BEB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R259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9" style="420" customWidth="1"/>
    <col min="2" max="2" width="14.81640625" style="18" customWidth="1"/>
    <col min="3" max="3" width="11.6328125" style="40" customWidth="1"/>
    <col min="4" max="4" width="13.26953125" style="18" bestFit="1" customWidth="1"/>
    <col min="5" max="5" width="11.6328125" style="40" customWidth="1"/>
    <col min="6" max="6" width="13.81640625" style="18" bestFit="1" customWidth="1"/>
    <col min="7" max="7" width="11.6328125" style="40" customWidth="1"/>
    <col min="8" max="8" width="13.81640625" style="40" bestFit="1" customWidth="1"/>
    <col min="9" max="9" width="12.81640625" style="40" bestFit="1" customWidth="1"/>
    <col min="10" max="10" width="9.1796875" style="20"/>
    <col min="11" max="11" width="13.81640625" style="20" bestFit="1" customWidth="1"/>
    <col min="12" max="12" width="17.453125" style="20" bestFit="1" customWidth="1"/>
    <col min="13" max="16384" width="9.1796875" style="20"/>
  </cols>
  <sheetData>
    <row r="1" spans="1:12" ht="13" x14ac:dyDescent="0.3">
      <c r="A1" s="37" t="s">
        <v>644</v>
      </c>
      <c r="K1" s="208" t="s">
        <v>239</v>
      </c>
      <c r="L1" s="555"/>
    </row>
    <row r="2" spans="1:12" ht="14.15" customHeight="1" x14ac:dyDescent="0.3">
      <c r="A2" s="618" t="s">
        <v>468</v>
      </c>
      <c r="B2" s="617">
        <v>45658</v>
      </c>
      <c r="C2" s="617"/>
      <c r="D2" s="617">
        <v>45995</v>
      </c>
      <c r="E2" s="617"/>
      <c r="F2" s="617">
        <v>46023</v>
      </c>
      <c r="G2" s="617"/>
      <c r="H2" s="586" t="s">
        <v>233</v>
      </c>
      <c r="I2" s="586" t="s">
        <v>625</v>
      </c>
    </row>
    <row r="3" spans="1:12" ht="13" x14ac:dyDescent="0.3">
      <c r="A3" s="619"/>
      <c r="B3" s="244" t="s">
        <v>624</v>
      </c>
      <c r="C3" s="227" t="s">
        <v>234</v>
      </c>
      <c r="D3" s="244" t="s">
        <v>624</v>
      </c>
      <c r="E3" s="227" t="s">
        <v>234</v>
      </c>
      <c r="F3" s="227" t="s">
        <v>624</v>
      </c>
      <c r="G3" s="227" t="s">
        <v>234</v>
      </c>
      <c r="H3" s="587"/>
      <c r="I3" s="587"/>
    </row>
    <row r="4" spans="1:12" x14ac:dyDescent="0.25">
      <c r="A4" s="56" t="s">
        <v>979</v>
      </c>
      <c r="B4" s="45">
        <v>1583.7124461700002</v>
      </c>
      <c r="C4" s="180">
        <f t="shared" ref="C4:C67" si="0">(B4/$B$259)*100</f>
        <v>12.104174357282183</v>
      </c>
      <c r="D4" s="45">
        <v>1515.9172037200003</v>
      </c>
      <c r="E4" s="180">
        <f t="shared" ref="E4:E67" si="1">(D4/$D$259)*100</f>
        <v>13.649403114057957</v>
      </c>
      <c r="F4" s="45">
        <v>1898.7106446700004</v>
      </c>
      <c r="G4" s="180">
        <f t="shared" ref="G4:G67" si="2">(F4/$F$259)*100</f>
        <v>16.885971276908439</v>
      </c>
      <c r="H4" s="180">
        <f t="shared" ref="H4" si="3">((F4/D4)-1)*100</f>
        <v>25.251606091060918</v>
      </c>
      <c r="I4" s="532">
        <f>((F4/B4)-1)*100</f>
        <v>19.889860641165114</v>
      </c>
      <c r="J4" s="533"/>
      <c r="K4" s="533"/>
    </row>
    <row r="5" spans="1:12" x14ac:dyDescent="0.25">
      <c r="A5" s="21" t="s">
        <v>970</v>
      </c>
      <c r="B5" s="46">
        <v>107.80102515999991</v>
      </c>
      <c r="C5" s="180">
        <f t="shared" si="0"/>
        <v>0.8239137146304506</v>
      </c>
      <c r="D5" s="46">
        <v>553.47503275999964</v>
      </c>
      <c r="E5" s="180">
        <f t="shared" si="1"/>
        <v>4.9835200874882695</v>
      </c>
      <c r="F5" s="46">
        <v>799.58597953999958</v>
      </c>
      <c r="G5" s="180">
        <f t="shared" si="2"/>
        <v>7.1110286982552671</v>
      </c>
      <c r="H5" s="180">
        <f t="shared" ref="H5:H68" si="4">((F5/D5)-1)*100</f>
        <v>44.466494821405924</v>
      </c>
      <c r="I5" s="532">
        <f t="shared" ref="I5:I68" si="5">((F5/B5)-1)*100</f>
        <v>641.72391065227998</v>
      </c>
      <c r="J5" s="533"/>
      <c r="K5" s="533"/>
    </row>
    <row r="6" spans="1:12" x14ac:dyDescent="0.25">
      <c r="A6" s="21" t="s">
        <v>978</v>
      </c>
      <c r="B6" s="46">
        <v>453.86538759999996</v>
      </c>
      <c r="C6" s="180">
        <f t="shared" si="0"/>
        <v>3.4688530733793019</v>
      </c>
      <c r="D6" s="46">
        <v>801.62755686999992</v>
      </c>
      <c r="E6" s="180">
        <f t="shared" si="1"/>
        <v>7.2178992653460634</v>
      </c>
      <c r="F6" s="46">
        <v>370.66573284000003</v>
      </c>
      <c r="G6" s="180">
        <f t="shared" si="2"/>
        <v>3.2964743393842899</v>
      </c>
      <c r="H6" s="180">
        <f t="shared" si="4"/>
        <v>-53.760854443766213</v>
      </c>
      <c r="I6" s="532">
        <f t="shared" si="5"/>
        <v>-18.331350447310456</v>
      </c>
      <c r="J6" s="533"/>
      <c r="K6" s="533"/>
    </row>
    <row r="7" spans="1:12" x14ac:dyDescent="0.25">
      <c r="A7" s="21" t="s">
        <v>977</v>
      </c>
      <c r="B7" s="46">
        <v>0.41997934000000003</v>
      </c>
      <c r="C7" s="180">
        <f t="shared" si="0"/>
        <v>3.2098650042879174E-3</v>
      </c>
      <c r="D7" s="46">
        <v>47.647854199999998</v>
      </c>
      <c r="E7" s="180">
        <f t="shared" si="1"/>
        <v>0.42902393870832151</v>
      </c>
      <c r="F7" s="46">
        <v>337.91109867999995</v>
      </c>
      <c r="G7" s="180">
        <f t="shared" si="2"/>
        <v>3.0051746549568428</v>
      </c>
      <c r="H7" s="180">
        <f t="shared" si="4"/>
        <v>609.18429455738215</v>
      </c>
      <c r="I7" s="532">
        <f t="shared" si="5"/>
        <v>80358.981310842559</v>
      </c>
      <c r="J7" s="533"/>
      <c r="K7" s="533"/>
    </row>
    <row r="8" spans="1:12" x14ac:dyDescent="0.25">
      <c r="A8" s="21" t="s">
        <v>463</v>
      </c>
      <c r="B8" s="46">
        <v>256.16250355000005</v>
      </c>
      <c r="C8" s="180">
        <f t="shared" si="0"/>
        <v>1.9578273911186308</v>
      </c>
      <c r="D8" s="46">
        <v>269.41287445000006</v>
      </c>
      <c r="E8" s="180">
        <f t="shared" si="1"/>
        <v>2.4258085589774478</v>
      </c>
      <c r="F8" s="46">
        <v>314.25920323999998</v>
      </c>
      <c r="G8" s="180">
        <f t="shared" si="2"/>
        <v>2.7948291617320469</v>
      </c>
      <c r="H8" s="180">
        <f t="shared" si="4"/>
        <v>16.645948669510545</v>
      </c>
      <c r="I8" s="532">
        <f t="shared" si="5"/>
        <v>22.67962675445203</v>
      </c>
      <c r="J8" s="533"/>
      <c r="K8" s="533"/>
    </row>
    <row r="9" spans="1:12" x14ac:dyDescent="0.25">
      <c r="A9" s="21" t="s">
        <v>972</v>
      </c>
      <c r="B9" s="46">
        <v>173.51621685000001</v>
      </c>
      <c r="C9" s="180">
        <f t="shared" si="0"/>
        <v>1.3261691209459219</v>
      </c>
      <c r="D9" s="46">
        <v>216.30586570999986</v>
      </c>
      <c r="E9" s="180">
        <f t="shared" si="1"/>
        <v>1.9476300880852133</v>
      </c>
      <c r="F9" s="46">
        <v>239.6563202100001</v>
      </c>
      <c r="G9" s="180">
        <f t="shared" si="2"/>
        <v>2.1313567450394637</v>
      </c>
      <c r="H9" s="180">
        <f t="shared" si="4"/>
        <v>10.795109241885314</v>
      </c>
      <c r="I9" s="532">
        <f t="shared" si="5"/>
        <v>38.11753423438018</v>
      </c>
      <c r="J9" s="533"/>
      <c r="K9" s="533"/>
    </row>
    <row r="10" spans="1:12" x14ac:dyDescent="0.25">
      <c r="A10" s="21" t="s">
        <v>976</v>
      </c>
      <c r="B10" s="46">
        <v>368.10442884999975</v>
      </c>
      <c r="C10" s="180">
        <f t="shared" si="0"/>
        <v>2.813389639807057</v>
      </c>
      <c r="D10" s="46">
        <v>285.91241482000027</v>
      </c>
      <c r="E10" s="180">
        <f t="shared" si="1"/>
        <v>2.5743713413999654</v>
      </c>
      <c r="F10" s="46">
        <v>239.55035143999993</v>
      </c>
      <c r="G10" s="180">
        <f t="shared" si="2"/>
        <v>2.1304143236065323</v>
      </c>
      <c r="H10" s="180">
        <f t="shared" si="4"/>
        <v>-16.215477529784128</v>
      </c>
      <c r="I10" s="532">
        <f t="shared" si="5"/>
        <v>-34.923262893526555</v>
      </c>
      <c r="J10" s="533"/>
      <c r="K10" s="533"/>
    </row>
    <row r="11" spans="1:12" x14ac:dyDescent="0.25">
      <c r="A11" s="21" t="s">
        <v>732</v>
      </c>
      <c r="B11" s="46">
        <v>338.19830933000003</v>
      </c>
      <c r="C11" s="180">
        <f t="shared" si="0"/>
        <v>2.5848198095356474</v>
      </c>
      <c r="D11" s="46">
        <v>220.21218934000001</v>
      </c>
      <c r="E11" s="180">
        <f t="shared" si="1"/>
        <v>1.9828028440833638</v>
      </c>
      <c r="F11" s="46">
        <v>217.07189998999979</v>
      </c>
      <c r="G11" s="180">
        <f t="shared" si="2"/>
        <v>1.9305047235842216</v>
      </c>
      <c r="H11" s="180">
        <f t="shared" si="4"/>
        <v>-1.4260288494528872</v>
      </c>
      <c r="I11" s="532">
        <f t="shared" si="5"/>
        <v>-35.815202500557163</v>
      </c>
      <c r="J11" s="533"/>
      <c r="K11" s="533"/>
    </row>
    <row r="12" spans="1:12" x14ac:dyDescent="0.25">
      <c r="A12" s="21" t="s">
        <v>975</v>
      </c>
      <c r="B12" s="46">
        <v>206.9659462999999</v>
      </c>
      <c r="C12" s="180">
        <f t="shared" si="0"/>
        <v>1.5818224489511841</v>
      </c>
      <c r="D12" s="46">
        <v>168.08176885</v>
      </c>
      <c r="E12" s="180">
        <f t="shared" si="1"/>
        <v>1.5134176283029479</v>
      </c>
      <c r="F12" s="46">
        <v>184.27654325000006</v>
      </c>
      <c r="G12" s="180">
        <f t="shared" si="2"/>
        <v>1.6388428774350157</v>
      </c>
      <c r="H12" s="180">
        <f t="shared" si="4"/>
        <v>9.6350570979846459</v>
      </c>
      <c r="I12" s="532">
        <f t="shared" si="5"/>
        <v>-10.96286778362623</v>
      </c>
      <c r="J12" s="533"/>
      <c r="K12" s="533"/>
    </row>
    <row r="13" spans="1:12" x14ac:dyDescent="0.25">
      <c r="A13" s="21" t="s">
        <v>464</v>
      </c>
      <c r="B13" s="46">
        <v>1.0059072500000001</v>
      </c>
      <c r="C13" s="180">
        <f t="shared" si="0"/>
        <v>7.6880602729993749E-3</v>
      </c>
      <c r="D13" s="46">
        <v>136.08838849</v>
      </c>
      <c r="E13" s="180">
        <f t="shared" si="1"/>
        <v>1.2253474458131632</v>
      </c>
      <c r="F13" s="46">
        <v>176.19180356000001</v>
      </c>
      <c r="G13" s="180">
        <f t="shared" si="2"/>
        <v>1.5669421470262759</v>
      </c>
      <c r="H13" s="180">
        <f t="shared" si="4"/>
        <v>29.468653068036655</v>
      </c>
      <c r="I13" s="532">
        <f t="shared" si="5"/>
        <v>17415.710674120302</v>
      </c>
      <c r="J13" s="533"/>
      <c r="K13" s="533"/>
    </row>
    <row r="14" spans="1:12" x14ac:dyDescent="0.25">
      <c r="A14" s="21" t="s">
        <v>974</v>
      </c>
      <c r="B14" s="46">
        <v>111.87226739999991</v>
      </c>
      <c r="C14" s="180">
        <f t="shared" si="0"/>
        <v>0.85502985951070765</v>
      </c>
      <c r="D14" s="46">
        <v>68.258700989999966</v>
      </c>
      <c r="E14" s="180">
        <f t="shared" si="1"/>
        <v>0.6146051536113748</v>
      </c>
      <c r="F14" s="46">
        <v>171.35116357000012</v>
      </c>
      <c r="G14" s="180">
        <f t="shared" si="2"/>
        <v>1.523892455351324</v>
      </c>
      <c r="H14" s="180">
        <f t="shared" si="4"/>
        <v>151.03197260537291</v>
      </c>
      <c r="I14" s="532">
        <f t="shared" si="5"/>
        <v>53.166792407391817</v>
      </c>
      <c r="J14" s="533"/>
      <c r="K14" s="533"/>
    </row>
    <row r="15" spans="1:12" x14ac:dyDescent="0.25">
      <c r="A15" s="21" t="s">
        <v>973</v>
      </c>
      <c r="B15" s="46">
        <v>102.72268395000008</v>
      </c>
      <c r="C15" s="180">
        <f t="shared" si="0"/>
        <v>0.7851004012664845</v>
      </c>
      <c r="D15" s="46">
        <v>142.87421097000015</v>
      </c>
      <c r="E15" s="180">
        <f t="shared" si="1"/>
        <v>1.2864473701775458</v>
      </c>
      <c r="F15" s="46">
        <v>169.66662951999993</v>
      </c>
      <c r="G15" s="180">
        <f t="shared" si="2"/>
        <v>1.5089112397231672</v>
      </c>
      <c r="H15" s="180">
        <f t="shared" si="4"/>
        <v>18.752452502170236</v>
      </c>
      <c r="I15" s="532">
        <f t="shared" si="5"/>
        <v>65.169583772348275</v>
      </c>
      <c r="J15" s="533"/>
      <c r="K15" s="533"/>
    </row>
    <row r="16" spans="1:12" x14ac:dyDescent="0.25">
      <c r="A16" s="21" t="s">
        <v>925</v>
      </c>
      <c r="B16" s="46">
        <v>140.10644427</v>
      </c>
      <c r="C16" s="180">
        <f t="shared" si="0"/>
        <v>1.0708211797691962</v>
      </c>
      <c r="D16" s="46">
        <v>170.18475765000005</v>
      </c>
      <c r="E16" s="180">
        <f t="shared" si="1"/>
        <v>1.5323530568376396</v>
      </c>
      <c r="F16" s="46">
        <v>155.61117752000007</v>
      </c>
      <c r="G16" s="180">
        <f t="shared" si="2"/>
        <v>1.3839106455451045</v>
      </c>
      <c r="H16" s="180">
        <f t="shared" si="4"/>
        <v>-8.56338742155266</v>
      </c>
      <c r="I16" s="532">
        <f t="shared" si="5"/>
        <v>11.066395504350112</v>
      </c>
      <c r="J16" s="533"/>
      <c r="K16" s="533"/>
    </row>
    <row r="17" spans="1:11" x14ac:dyDescent="0.25">
      <c r="A17" s="21" t="s">
        <v>971</v>
      </c>
      <c r="B17" s="46">
        <v>175.44161882000014</v>
      </c>
      <c r="C17" s="180">
        <f t="shared" si="0"/>
        <v>1.3408847981568304</v>
      </c>
      <c r="D17" s="46">
        <v>257.53705539000026</v>
      </c>
      <c r="E17" s="180">
        <f t="shared" si="1"/>
        <v>2.3188780213057538</v>
      </c>
      <c r="F17" s="46">
        <v>151.30545266000013</v>
      </c>
      <c r="G17" s="180">
        <f t="shared" si="2"/>
        <v>1.3456181618976732</v>
      </c>
      <c r="H17" s="180">
        <f t="shared" si="4"/>
        <v>-41.249055429762805</v>
      </c>
      <c r="I17" s="532">
        <f t="shared" si="5"/>
        <v>-13.757377709084684</v>
      </c>
      <c r="J17" s="533"/>
      <c r="K17" s="533"/>
    </row>
    <row r="18" spans="1:11" x14ac:dyDescent="0.25">
      <c r="A18" s="21" t="s">
        <v>956</v>
      </c>
      <c r="B18" s="46">
        <v>165.96446782000004</v>
      </c>
      <c r="C18" s="180">
        <f t="shared" si="0"/>
        <v>1.2684517700577516</v>
      </c>
      <c r="D18" s="46">
        <v>184.83260743000011</v>
      </c>
      <c r="E18" s="180">
        <f t="shared" si="1"/>
        <v>1.6642431138346541</v>
      </c>
      <c r="F18" s="46">
        <v>148.79160605000001</v>
      </c>
      <c r="G18" s="180">
        <f t="shared" si="2"/>
        <v>1.3232615475445719</v>
      </c>
      <c r="H18" s="180">
        <f t="shared" si="4"/>
        <v>-19.499265784934384</v>
      </c>
      <c r="I18" s="532">
        <f t="shared" si="5"/>
        <v>-10.347312286522193</v>
      </c>
      <c r="J18" s="533"/>
      <c r="K18" s="533"/>
    </row>
    <row r="19" spans="1:11" x14ac:dyDescent="0.25">
      <c r="A19" s="21" t="s">
        <v>742</v>
      </c>
      <c r="B19" s="46">
        <v>11.633667619999999</v>
      </c>
      <c r="C19" s="180">
        <f t="shared" si="0"/>
        <v>8.8915094168573849E-2</v>
      </c>
      <c r="D19" s="46">
        <v>0.11843361999999999</v>
      </c>
      <c r="E19" s="180">
        <f t="shared" si="1"/>
        <v>1.0663829249184665E-3</v>
      </c>
      <c r="F19" s="46">
        <v>147.86112354000002</v>
      </c>
      <c r="G19" s="180">
        <f t="shared" si="2"/>
        <v>1.3149864051569564</v>
      </c>
      <c r="H19" s="180">
        <f t="shared" si="4"/>
        <v>124747.25497709184</v>
      </c>
      <c r="I19" s="532">
        <f t="shared" si="5"/>
        <v>1170.976001461524</v>
      </c>
      <c r="J19" s="533"/>
      <c r="K19" s="533"/>
    </row>
    <row r="20" spans="1:11" x14ac:dyDescent="0.25">
      <c r="A20" s="21" t="s">
        <v>967</v>
      </c>
      <c r="B20" s="46">
        <v>60.631606079999976</v>
      </c>
      <c r="C20" s="180">
        <f t="shared" si="0"/>
        <v>0.46340201046547291</v>
      </c>
      <c r="D20" s="46">
        <v>79.248358840000051</v>
      </c>
      <c r="E20" s="180">
        <f t="shared" si="1"/>
        <v>0.7135566462866495</v>
      </c>
      <c r="F20" s="46">
        <v>129.22719716000003</v>
      </c>
      <c r="G20" s="180">
        <f t="shared" si="2"/>
        <v>1.1492676599063374</v>
      </c>
      <c r="H20" s="180">
        <f t="shared" si="4"/>
        <v>63.066086227609695</v>
      </c>
      <c r="I20" s="532">
        <f t="shared" si="5"/>
        <v>113.13503882693139</v>
      </c>
      <c r="J20" s="533"/>
      <c r="K20" s="533"/>
    </row>
    <row r="21" spans="1:11" x14ac:dyDescent="0.25">
      <c r="A21" s="21" t="s">
        <v>745</v>
      </c>
      <c r="B21" s="46">
        <v>214.03986433000006</v>
      </c>
      <c r="C21" s="180">
        <f t="shared" si="0"/>
        <v>1.6358877797069751</v>
      </c>
      <c r="D21" s="46">
        <v>118.48204214999998</v>
      </c>
      <c r="E21" s="180">
        <f t="shared" si="1"/>
        <v>1.0668189206597756</v>
      </c>
      <c r="F21" s="46">
        <v>128.58067452</v>
      </c>
      <c r="G21" s="180">
        <f t="shared" si="2"/>
        <v>1.143517882940817</v>
      </c>
      <c r="H21" s="180">
        <f t="shared" si="4"/>
        <v>8.5233442863982702</v>
      </c>
      <c r="I21" s="532">
        <f t="shared" si="5"/>
        <v>-39.926763211848105</v>
      </c>
      <c r="J21" s="533"/>
      <c r="K21" s="533"/>
    </row>
    <row r="22" spans="1:11" x14ac:dyDescent="0.25">
      <c r="A22" s="21" t="s">
        <v>969</v>
      </c>
      <c r="B22" s="46">
        <v>146.70114155999985</v>
      </c>
      <c r="C22" s="180">
        <f t="shared" si="0"/>
        <v>1.121223868732522</v>
      </c>
      <c r="D22" s="46">
        <v>116.19271725999985</v>
      </c>
      <c r="E22" s="180">
        <f t="shared" si="1"/>
        <v>1.0462057115702705</v>
      </c>
      <c r="F22" s="46">
        <v>127.43648595000001</v>
      </c>
      <c r="G22" s="180">
        <f t="shared" si="2"/>
        <v>1.1333421695520376</v>
      </c>
      <c r="H22" s="180">
        <f t="shared" si="4"/>
        <v>9.6768273908599767</v>
      </c>
      <c r="I22" s="532">
        <f t="shared" si="5"/>
        <v>-13.131905726937187</v>
      </c>
      <c r="J22" s="533"/>
      <c r="K22" s="533"/>
    </row>
    <row r="23" spans="1:11" x14ac:dyDescent="0.25">
      <c r="A23" s="21" t="s">
        <v>968</v>
      </c>
      <c r="B23" s="46">
        <v>120.57342012999999</v>
      </c>
      <c r="C23" s="180">
        <f t="shared" si="0"/>
        <v>0.92153200136604629</v>
      </c>
      <c r="D23" s="46">
        <v>150.91199796000009</v>
      </c>
      <c r="E23" s="180">
        <f t="shared" si="1"/>
        <v>1.358820052869063</v>
      </c>
      <c r="F23" s="46">
        <v>125.85448415000006</v>
      </c>
      <c r="G23" s="180">
        <f t="shared" si="2"/>
        <v>1.1192728130496099</v>
      </c>
      <c r="H23" s="180">
        <f t="shared" si="4"/>
        <v>-16.604056767336438</v>
      </c>
      <c r="I23" s="532">
        <f t="shared" si="5"/>
        <v>4.3799570538068267</v>
      </c>
      <c r="J23" s="533"/>
      <c r="K23" s="533"/>
    </row>
    <row r="24" spans="1:11" x14ac:dyDescent="0.25">
      <c r="A24" s="21" t="s">
        <v>964</v>
      </c>
      <c r="B24" s="46">
        <v>77.888648670000009</v>
      </c>
      <c r="C24" s="180">
        <f t="shared" si="0"/>
        <v>0.59529606288992598</v>
      </c>
      <c r="D24" s="46">
        <v>170.08458346000003</v>
      </c>
      <c r="E24" s="180">
        <f t="shared" si="1"/>
        <v>1.5314510828396013</v>
      </c>
      <c r="F24" s="46">
        <v>112.36123395000001</v>
      </c>
      <c r="G24" s="180">
        <f t="shared" si="2"/>
        <v>0.99927209785430438</v>
      </c>
      <c r="H24" s="180">
        <f t="shared" si="4"/>
        <v>-33.938025619808876</v>
      </c>
      <c r="I24" s="532">
        <f t="shared" si="5"/>
        <v>44.258805190027182</v>
      </c>
      <c r="J24" s="533"/>
      <c r="K24" s="533"/>
    </row>
    <row r="25" spans="1:11" x14ac:dyDescent="0.25">
      <c r="A25" s="21" t="s">
        <v>966</v>
      </c>
      <c r="B25" s="46">
        <v>163.04868067999993</v>
      </c>
      <c r="C25" s="180">
        <f t="shared" si="0"/>
        <v>1.2461666664604196</v>
      </c>
      <c r="D25" s="46">
        <v>123.44850994000001</v>
      </c>
      <c r="E25" s="180">
        <f t="shared" si="1"/>
        <v>1.1115372738471017</v>
      </c>
      <c r="F25" s="46">
        <v>112.09147385999997</v>
      </c>
      <c r="G25" s="180">
        <f t="shared" si="2"/>
        <v>0.99687301659135141</v>
      </c>
      <c r="H25" s="180">
        <f t="shared" si="4"/>
        <v>-9.199816251747329</v>
      </c>
      <c r="I25" s="532">
        <f t="shared" si="5"/>
        <v>-31.252756297984895</v>
      </c>
      <c r="J25" s="533"/>
      <c r="K25" s="533"/>
    </row>
    <row r="26" spans="1:11" x14ac:dyDescent="0.25">
      <c r="A26" s="21" t="s">
        <v>950</v>
      </c>
      <c r="B26" s="46">
        <v>98.723677760000015</v>
      </c>
      <c r="C26" s="180">
        <f t="shared" si="0"/>
        <v>0.75453635013670284</v>
      </c>
      <c r="D26" s="46">
        <v>133.27380017000004</v>
      </c>
      <c r="E26" s="180">
        <f t="shared" si="1"/>
        <v>1.2000047354820689</v>
      </c>
      <c r="F26" s="46">
        <v>106.66761766999993</v>
      </c>
      <c r="G26" s="180">
        <f t="shared" si="2"/>
        <v>0.94863655671184144</v>
      </c>
      <c r="H26" s="180">
        <f t="shared" si="4"/>
        <v>-19.963550574878241</v>
      </c>
      <c r="I26" s="532">
        <f t="shared" si="5"/>
        <v>8.0466409783799264</v>
      </c>
      <c r="J26" s="533"/>
      <c r="K26" s="533"/>
    </row>
    <row r="27" spans="1:11" x14ac:dyDescent="0.25">
      <c r="A27" s="21" t="s">
        <v>957</v>
      </c>
      <c r="B27" s="46">
        <v>96.494398719999978</v>
      </c>
      <c r="C27" s="180">
        <f t="shared" si="0"/>
        <v>0.73749816731730822</v>
      </c>
      <c r="D27" s="46">
        <v>123.03282875000001</v>
      </c>
      <c r="E27" s="180">
        <f t="shared" si="1"/>
        <v>1.1077944572108647</v>
      </c>
      <c r="F27" s="46">
        <v>102.42329159000008</v>
      </c>
      <c r="G27" s="180">
        <f t="shared" si="2"/>
        <v>0.91089011626400429</v>
      </c>
      <c r="H27" s="180">
        <f t="shared" si="4"/>
        <v>-16.751250352764025</v>
      </c>
      <c r="I27" s="532">
        <f t="shared" si="5"/>
        <v>6.1442870763971591</v>
      </c>
      <c r="J27" s="533"/>
      <c r="K27" s="533"/>
    </row>
    <row r="28" spans="1:11" x14ac:dyDescent="0.25">
      <c r="A28" s="21" t="s">
        <v>939</v>
      </c>
      <c r="B28" s="46">
        <v>183.33190480000002</v>
      </c>
      <c r="C28" s="180">
        <f t="shared" si="0"/>
        <v>1.4011895570552686</v>
      </c>
      <c r="D28" s="46">
        <v>141.37251879000007</v>
      </c>
      <c r="E28" s="180">
        <f t="shared" si="1"/>
        <v>1.2729260499710398</v>
      </c>
      <c r="F28" s="46">
        <v>98.546891010000024</v>
      </c>
      <c r="G28" s="180">
        <f t="shared" si="2"/>
        <v>0.87641578020051814</v>
      </c>
      <c r="H28" s="180">
        <f t="shared" si="4"/>
        <v>-30.292752896066599</v>
      </c>
      <c r="I28" s="532">
        <f t="shared" si="5"/>
        <v>-46.246731512713758</v>
      </c>
      <c r="J28" s="533"/>
      <c r="K28" s="533"/>
    </row>
    <row r="29" spans="1:11" x14ac:dyDescent="0.25">
      <c r="A29" s="21" t="s">
        <v>955</v>
      </c>
      <c r="B29" s="46">
        <v>124.92529494999997</v>
      </c>
      <c r="C29" s="180">
        <f t="shared" si="0"/>
        <v>0.95479299627060454</v>
      </c>
      <c r="D29" s="46">
        <v>141.36341925999983</v>
      </c>
      <c r="E29" s="180">
        <f t="shared" si="1"/>
        <v>1.2728441172950222</v>
      </c>
      <c r="F29" s="46">
        <v>97.699947949999995</v>
      </c>
      <c r="G29" s="180">
        <f t="shared" si="2"/>
        <v>0.86888358659087883</v>
      </c>
      <c r="H29" s="180">
        <f t="shared" si="4"/>
        <v>-30.887390485152789</v>
      </c>
      <c r="I29" s="532">
        <f t="shared" si="5"/>
        <v>-21.793302157818907</v>
      </c>
      <c r="J29" s="533"/>
      <c r="K29" s="533"/>
    </row>
    <row r="30" spans="1:11" x14ac:dyDescent="0.25">
      <c r="A30" s="21" t="s">
        <v>965</v>
      </c>
      <c r="B30" s="46">
        <v>212.8939236299999</v>
      </c>
      <c r="C30" s="180">
        <f t="shared" si="0"/>
        <v>1.6271294561429643</v>
      </c>
      <c r="D30" s="46">
        <v>87.328193099999964</v>
      </c>
      <c r="E30" s="180">
        <f t="shared" si="1"/>
        <v>0.78630792494413826</v>
      </c>
      <c r="F30" s="46">
        <v>96.869515689999943</v>
      </c>
      <c r="G30" s="180">
        <f t="shared" si="2"/>
        <v>0.86149822993890923</v>
      </c>
      <c r="H30" s="180">
        <f t="shared" si="4"/>
        <v>10.925821606172658</v>
      </c>
      <c r="I30" s="532">
        <f t="shared" si="5"/>
        <v>-54.498693979469884</v>
      </c>
      <c r="J30" s="533"/>
      <c r="K30" s="533"/>
    </row>
    <row r="31" spans="1:11" x14ac:dyDescent="0.25">
      <c r="A31" s="21" t="s">
        <v>954</v>
      </c>
      <c r="B31" s="46">
        <v>126.89025359999999</v>
      </c>
      <c r="C31" s="180">
        <f t="shared" si="0"/>
        <v>0.96981100169322343</v>
      </c>
      <c r="D31" s="46">
        <v>138.0715995599999</v>
      </c>
      <c r="E31" s="180">
        <f t="shared" si="1"/>
        <v>1.2432043889814728</v>
      </c>
      <c r="F31" s="46">
        <v>95.470726039999988</v>
      </c>
      <c r="G31" s="180">
        <f t="shared" si="2"/>
        <v>0.84905825025130333</v>
      </c>
      <c r="H31" s="180">
        <f t="shared" si="4"/>
        <v>-30.854189895502316</v>
      </c>
      <c r="I31" s="532">
        <f t="shared" si="5"/>
        <v>-24.761182729640318</v>
      </c>
      <c r="J31" s="533"/>
      <c r="K31" s="533"/>
    </row>
    <row r="32" spans="1:11" x14ac:dyDescent="0.25">
      <c r="A32" s="21" t="s">
        <v>961</v>
      </c>
      <c r="B32" s="46">
        <v>215.85387617000001</v>
      </c>
      <c r="C32" s="180">
        <f t="shared" si="0"/>
        <v>1.6497521119919387</v>
      </c>
      <c r="D32" s="46">
        <v>126.51509630000004</v>
      </c>
      <c r="E32" s="180">
        <f t="shared" si="1"/>
        <v>1.1391489885957677</v>
      </c>
      <c r="F32" s="46">
        <v>92.973470140000003</v>
      </c>
      <c r="G32" s="180">
        <f t="shared" si="2"/>
        <v>0.82684918352654235</v>
      </c>
      <c r="H32" s="180">
        <f t="shared" si="4"/>
        <v>-26.511955601301651</v>
      </c>
      <c r="I32" s="532">
        <f t="shared" si="5"/>
        <v>-56.92758833444487</v>
      </c>
      <c r="J32" s="533"/>
      <c r="K32" s="533"/>
    </row>
    <row r="33" spans="1:18" x14ac:dyDescent="0.25">
      <c r="A33" s="21" t="s">
        <v>963</v>
      </c>
      <c r="B33" s="46">
        <v>95.028624030000003</v>
      </c>
      <c r="C33" s="180">
        <f t="shared" si="0"/>
        <v>0.72629538081452005</v>
      </c>
      <c r="D33" s="46">
        <v>71.574114680000008</v>
      </c>
      <c r="E33" s="180">
        <f t="shared" si="1"/>
        <v>0.64445732352779683</v>
      </c>
      <c r="F33" s="46">
        <v>90.946886250000006</v>
      </c>
      <c r="G33" s="180">
        <f t="shared" si="2"/>
        <v>0.80882598580926568</v>
      </c>
      <c r="H33" s="180">
        <f t="shared" si="4"/>
        <v>27.066728881822044</v>
      </c>
      <c r="I33" s="532">
        <f t="shared" si="5"/>
        <v>-4.2952718948255146</v>
      </c>
      <c r="J33" s="533"/>
      <c r="K33" s="533"/>
    </row>
    <row r="34" spans="1:18" x14ac:dyDescent="0.25">
      <c r="A34" s="21" t="s">
        <v>962</v>
      </c>
      <c r="B34" s="46">
        <v>183.87812476000008</v>
      </c>
      <c r="C34" s="180">
        <f t="shared" si="0"/>
        <v>1.405364267969019</v>
      </c>
      <c r="D34" s="46">
        <v>124.12772140999999</v>
      </c>
      <c r="E34" s="180">
        <f t="shared" si="1"/>
        <v>1.117652931833548</v>
      </c>
      <c r="F34" s="46">
        <v>89.095478889999995</v>
      </c>
      <c r="G34" s="180">
        <f t="shared" si="2"/>
        <v>0.79236070101688461</v>
      </c>
      <c r="H34" s="180">
        <f t="shared" si="4"/>
        <v>-28.222738742046804</v>
      </c>
      <c r="I34" s="532">
        <f t="shared" si="5"/>
        <v>-51.546450124891976</v>
      </c>
      <c r="J34" s="533"/>
      <c r="K34" s="533"/>
    </row>
    <row r="35" spans="1:18" x14ac:dyDescent="0.25">
      <c r="A35" s="21" t="s">
        <v>960</v>
      </c>
      <c r="B35" s="46">
        <v>74.696508399999999</v>
      </c>
      <c r="C35" s="180">
        <f t="shared" si="0"/>
        <v>0.57089881672669518</v>
      </c>
      <c r="D35" s="46">
        <v>81.967527740000008</v>
      </c>
      <c r="E35" s="180">
        <f t="shared" si="1"/>
        <v>0.73804019483417582</v>
      </c>
      <c r="F35" s="46">
        <v>88.807534949999948</v>
      </c>
      <c r="G35" s="180">
        <f t="shared" si="2"/>
        <v>0.78979990371275099</v>
      </c>
      <c r="H35" s="180">
        <f t="shared" si="4"/>
        <v>8.3447767653751281</v>
      </c>
      <c r="I35" s="532">
        <f t="shared" si="5"/>
        <v>18.891146122165935</v>
      </c>
      <c r="J35" s="533"/>
      <c r="K35" s="533"/>
    </row>
    <row r="36" spans="1:18" x14ac:dyDescent="0.25">
      <c r="A36" s="21" t="s">
        <v>959</v>
      </c>
      <c r="B36" s="46">
        <v>74.895685909999997</v>
      </c>
      <c r="C36" s="180">
        <f t="shared" si="0"/>
        <v>0.57242111284485708</v>
      </c>
      <c r="D36" s="46">
        <v>103.79320901999999</v>
      </c>
      <c r="E36" s="180">
        <f t="shared" si="1"/>
        <v>0.93455984729185293</v>
      </c>
      <c r="F36" s="46">
        <v>86.37218991000006</v>
      </c>
      <c r="G36" s="180">
        <f t="shared" si="2"/>
        <v>0.76814143431393067</v>
      </c>
      <c r="H36" s="180">
        <f t="shared" si="4"/>
        <v>-16.784353499122528</v>
      </c>
      <c r="I36" s="532">
        <f t="shared" si="5"/>
        <v>15.323317839416074</v>
      </c>
      <c r="J36" s="533"/>
      <c r="K36" s="533"/>
    </row>
    <row r="37" spans="1:18" x14ac:dyDescent="0.25">
      <c r="A37" s="21" t="s">
        <v>958</v>
      </c>
      <c r="B37" s="46">
        <v>81.588018959999985</v>
      </c>
      <c r="C37" s="180">
        <f t="shared" si="0"/>
        <v>0.62357002329896283</v>
      </c>
      <c r="D37" s="46">
        <v>86.551854759999941</v>
      </c>
      <c r="E37" s="180">
        <f t="shared" si="1"/>
        <v>0.77931773119902126</v>
      </c>
      <c r="F37" s="46">
        <v>84.542556070000003</v>
      </c>
      <c r="G37" s="180">
        <f t="shared" si="2"/>
        <v>0.75186978989237097</v>
      </c>
      <c r="H37" s="180">
        <f t="shared" si="4"/>
        <v>-2.3214969749308478</v>
      </c>
      <c r="I37" s="532">
        <f t="shared" si="5"/>
        <v>3.6212879631855488</v>
      </c>
      <c r="J37" s="533"/>
      <c r="K37" s="533"/>
    </row>
    <row r="38" spans="1:18" x14ac:dyDescent="0.25">
      <c r="A38" s="21" t="s">
        <v>948</v>
      </c>
      <c r="B38" s="46">
        <v>58.180068939999991</v>
      </c>
      <c r="C38" s="180">
        <f t="shared" si="0"/>
        <v>0.44466512861695623</v>
      </c>
      <c r="D38" s="46">
        <v>51.714104239999976</v>
      </c>
      <c r="E38" s="180">
        <f t="shared" si="1"/>
        <v>0.46563668102849209</v>
      </c>
      <c r="F38" s="46">
        <v>82.758618120000037</v>
      </c>
      <c r="G38" s="180">
        <f t="shared" si="2"/>
        <v>0.73600453677018085</v>
      </c>
      <c r="H38" s="180">
        <f t="shared" si="4"/>
        <v>60.031038603947536</v>
      </c>
      <c r="I38" s="532">
        <f t="shared" si="5"/>
        <v>42.245651522598649</v>
      </c>
      <c r="J38" s="533"/>
      <c r="K38" s="533"/>
    </row>
    <row r="39" spans="1:18" x14ac:dyDescent="0.25">
      <c r="A39" s="21" t="s">
        <v>943</v>
      </c>
      <c r="B39" s="46">
        <v>121.87887071999999</v>
      </c>
      <c r="C39" s="180">
        <f t="shared" si="0"/>
        <v>0.93150944493188459</v>
      </c>
      <c r="D39" s="46">
        <v>90.518162939999982</v>
      </c>
      <c r="E39" s="180">
        <f t="shared" si="1"/>
        <v>0.81503059143344192</v>
      </c>
      <c r="F39" s="46">
        <v>82.204720459999976</v>
      </c>
      <c r="G39" s="180">
        <f t="shared" si="2"/>
        <v>0.73107850973000832</v>
      </c>
      <c r="H39" s="180">
        <f t="shared" si="4"/>
        <v>-9.1842810436956963</v>
      </c>
      <c r="I39" s="532">
        <f t="shared" si="5"/>
        <v>-32.552115084119826</v>
      </c>
      <c r="J39" s="533"/>
      <c r="K39" s="533"/>
    </row>
    <row r="40" spans="1:18" x14ac:dyDescent="0.25">
      <c r="A40" s="21" t="s">
        <v>917</v>
      </c>
      <c r="B40" s="46">
        <v>78.067414889999995</v>
      </c>
      <c r="C40" s="180">
        <f t="shared" si="0"/>
        <v>0.59666235732128259</v>
      </c>
      <c r="D40" s="46">
        <v>75.156871099999989</v>
      </c>
      <c r="E40" s="180">
        <f t="shared" si="1"/>
        <v>0.67671666230702188</v>
      </c>
      <c r="F40" s="46">
        <v>79.087942280000007</v>
      </c>
      <c r="G40" s="180">
        <f t="shared" si="2"/>
        <v>0.70335979072892452</v>
      </c>
      <c r="H40" s="180">
        <f t="shared" si="4"/>
        <v>5.2304880744297177</v>
      </c>
      <c r="I40" s="532">
        <f t="shared" si="5"/>
        <v>1.3072386109338696</v>
      </c>
      <c r="J40" s="533"/>
      <c r="K40" s="533"/>
    </row>
    <row r="41" spans="1:18" x14ac:dyDescent="0.25">
      <c r="A41" s="21" t="s">
        <v>952</v>
      </c>
      <c r="B41" s="46">
        <v>10.26300331</v>
      </c>
      <c r="C41" s="180">
        <f t="shared" si="0"/>
        <v>7.8439227900258271E-2</v>
      </c>
      <c r="D41" s="46">
        <v>14.624571719999999</v>
      </c>
      <c r="E41" s="180">
        <f t="shared" si="1"/>
        <v>0.13168046004549627</v>
      </c>
      <c r="F41" s="46">
        <v>78.509325970000006</v>
      </c>
      <c r="G41" s="180">
        <f t="shared" si="2"/>
        <v>0.69821393113286745</v>
      </c>
      <c r="H41" s="180">
        <f t="shared" si="4"/>
        <v>436.83162470073353</v>
      </c>
      <c r="I41" s="532">
        <f t="shared" si="5"/>
        <v>664.97418541707566</v>
      </c>
      <c r="J41" s="533"/>
      <c r="K41" s="533"/>
    </row>
    <row r="42" spans="1:18" x14ac:dyDescent="0.25">
      <c r="A42" s="21" t="s">
        <v>953</v>
      </c>
      <c r="B42" s="46">
        <v>56.583210839999971</v>
      </c>
      <c r="C42" s="180">
        <f t="shared" si="0"/>
        <v>0.43246048318843638</v>
      </c>
      <c r="D42" s="46">
        <v>76.193166769999976</v>
      </c>
      <c r="E42" s="180">
        <f t="shared" si="1"/>
        <v>0.68604752636112176</v>
      </c>
      <c r="F42" s="46">
        <v>72.788386139999986</v>
      </c>
      <c r="G42" s="180">
        <f t="shared" si="2"/>
        <v>0.64733539104700222</v>
      </c>
      <c r="H42" s="180">
        <f t="shared" si="4"/>
        <v>-4.4686167727846389</v>
      </c>
      <c r="I42" s="532">
        <f t="shared" si="5"/>
        <v>28.639547066042791</v>
      </c>
      <c r="J42" s="533"/>
      <c r="K42" s="533"/>
    </row>
    <row r="43" spans="1:18" x14ac:dyDescent="0.25">
      <c r="A43" s="21" t="s">
        <v>951</v>
      </c>
      <c r="B43" s="46">
        <v>82.647633430000013</v>
      </c>
      <c r="C43" s="180">
        <f t="shared" si="0"/>
        <v>0.63166856311115971</v>
      </c>
      <c r="D43" s="46">
        <v>123.04230095000001</v>
      </c>
      <c r="E43" s="180">
        <f t="shared" si="1"/>
        <v>1.1078797454283607</v>
      </c>
      <c r="F43" s="46">
        <v>70.089138779999956</v>
      </c>
      <c r="G43" s="180">
        <f t="shared" si="2"/>
        <v>0.62332993580916451</v>
      </c>
      <c r="H43" s="180">
        <f t="shared" si="4"/>
        <v>-43.036550650591565</v>
      </c>
      <c r="I43" s="532">
        <f t="shared" si="5"/>
        <v>-15.195225959660075</v>
      </c>
      <c r="J43" s="533"/>
      <c r="K43" s="533"/>
    </row>
    <row r="44" spans="1:18" x14ac:dyDescent="0.25">
      <c r="A44" s="21" t="s">
        <v>949</v>
      </c>
      <c r="B44" s="46">
        <v>53.713906040000026</v>
      </c>
      <c r="C44" s="180">
        <f t="shared" si="0"/>
        <v>0.41053064001054301</v>
      </c>
      <c r="D44" s="46">
        <v>65.61881297999993</v>
      </c>
      <c r="E44" s="180">
        <f t="shared" si="1"/>
        <v>0.59083545462251474</v>
      </c>
      <c r="F44" s="46">
        <v>68.453862990000047</v>
      </c>
      <c r="G44" s="180">
        <f t="shared" si="2"/>
        <v>0.6087867930205163</v>
      </c>
      <c r="H44" s="180">
        <f t="shared" si="4"/>
        <v>4.3204835339892833</v>
      </c>
      <c r="I44" s="532">
        <f t="shared" si="5"/>
        <v>27.441603183770269</v>
      </c>
      <c r="J44" s="533"/>
      <c r="K44" s="533"/>
    </row>
    <row r="45" spans="1:18" x14ac:dyDescent="0.25">
      <c r="A45" s="21" t="s">
        <v>938</v>
      </c>
      <c r="B45" s="46">
        <v>68.739168120000002</v>
      </c>
      <c r="C45" s="180">
        <f t="shared" si="0"/>
        <v>0.52536739110131381</v>
      </c>
      <c r="D45" s="46">
        <v>49.03335779999999</v>
      </c>
      <c r="E45" s="180">
        <f t="shared" si="1"/>
        <v>0.4414990904553765</v>
      </c>
      <c r="F45" s="46">
        <v>66.130091399999998</v>
      </c>
      <c r="G45" s="180">
        <f t="shared" si="2"/>
        <v>0.58812058965088354</v>
      </c>
      <c r="H45" s="180">
        <f t="shared" si="4"/>
        <v>34.867556225162311</v>
      </c>
      <c r="I45" s="532">
        <f t="shared" si="5"/>
        <v>-3.7956187008915565</v>
      </c>
      <c r="J45" s="533"/>
      <c r="K45" s="533"/>
    </row>
    <row r="46" spans="1:18" x14ac:dyDescent="0.25">
      <c r="A46" s="21" t="s">
        <v>945</v>
      </c>
      <c r="B46" s="46">
        <v>87.118721050000033</v>
      </c>
      <c r="C46" s="180">
        <f t="shared" si="0"/>
        <v>0.66584069091759657</v>
      </c>
      <c r="D46" s="46">
        <v>76.760262430000026</v>
      </c>
      <c r="E46" s="180">
        <f t="shared" si="1"/>
        <v>0.69115368733652227</v>
      </c>
      <c r="F46" s="46">
        <v>62.746790230000002</v>
      </c>
      <c r="G46" s="180">
        <f t="shared" si="2"/>
        <v>0.55803157817452986</v>
      </c>
      <c r="H46" s="180">
        <f t="shared" si="4"/>
        <v>-18.256154625291089</v>
      </c>
      <c r="I46" s="532">
        <f t="shared" si="5"/>
        <v>-27.975537893872726</v>
      </c>
      <c r="J46" s="533"/>
      <c r="K46" s="533"/>
      <c r="N46" s="18"/>
      <c r="O46" s="18"/>
      <c r="P46" s="18"/>
      <c r="Q46" s="18"/>
      <c r="R46" s="18"/>
    </row>
    <row r="47" spans="1:18" x14ac:dyDescent="0.25">
      <c r="A47" s="21" t="s">
        <v>946</v>
      </c>
      <c r="B47" s="46">
        <v>52.978770899999986</v>
      </c>
      <c r="C47" s="180">
        <f t="shared" si="0"/>
        <v>0.40491206706048216</v>
      </c>
      <c r="D47" s="46">
        <v>82.741450809999975</v>
      </c>
      <c r="E47" s="180">
        <f t="shared" si="1"/>
        <v>0.74500864135340272</v>
      </c>
      <c r="F47" s="46">
        <v>62.161885490000003</v>
      </c>
      <c r="G47" s="180">
        <f t="shared" si="2"/>
        <v>0.55282979312787561</v>
      </c>
      <c r="H47" s="180">
        <f t="shared" si="4"/>
        <v>-24.872134968067016</v>
      </c>
      <c r="I47" s="532">
        <f t="shared" si="5"/>
        <v>17.333574248699723</v>
      </c>
      <c r="J47" s="533"/>
      <c r="K47" s="533"/>
      <c r="N47" s="18"/>
      <c r="O47" s="18"/>
      <c r="P47" s="18"/>
      <c r="Q47" s="18"/>
      <c r="R47" s="18"/>
    </row>
    <row r="48" spans="1:18" x14ac:dyDescent="0.25">
      <c r="A48" s="21" t="s">
        <v>947</v>
      </c>
      <c r="B48" s="46">
        <v>47.729295750000006</v>
      </c>
      <c r="C48" s="180">
        <f t="shared" si="0"/>
        <v>0.364790792107138</v>
      </c>
      <c r="D48" s="46">
        <v>62.700836559999999</v>
      </c>
      <c r="E48" s="180">
        <f t="shared" si="1"/>
        <v>0.5645618320683562</v>
      </c>
      <c r="F48" s="46">
        <v>62.153644839999998</v>
      </c>
      <c r="G48" s="180">
        <f t="shared" si="2"/>
        <v>0.55275650582652003</v>
      </c>
      <c r="H48" s="180">
        <f t="shared" si="4"/>
        <v>-0.87270242315886648</v>
      </c>
      <c r="I48" s="532">
        <f t="shared" si="5"/>
        <v>30.221164723554494</v>
      </c>
      <c r="J48" s="533"/>
      <c r="K48" s="533"/>
      <c r="N48" s="18"/>
      <c r="O48" s="18"/>
      <c r="P48" s="18"/>
      <c r="Q48" s="18"/>
      <c r="R48" s="18"/>
    </row>
    <row r="49" spans="1:18" x14ac:dyDescent="0.25">
      <c r="A49" s="21" t="s">
        <v>940</v>
      </c>
      <c r="B49" s="46">
        <v>81.821162399999977</v>
      </c>
      <c r="C49" s="180">
        <f t="shared" si="0"/>
        <v>0.62535191802034429</v>
      </c>
      <c r="D49" s="46">
        <v>59.035496000000016</v>
      </c>
      <c r="E49" s="180">
        <f t="shared" si="1"/>
        <v>0.53155890108309145</v>
      </c>
      <c r="F49" s="46">
        <v>58.986184310000013</v>
      </c>
      <c r="G49" s="180">
        <f t="shared" si="2"/>
        <v>0.52458704900040265</v>
      </c>
      <c r="H49" s="180">
        <f t="shared" si="4"/>
        <v>-8.3528882352412737E-2</v>
      </c>
      <c r="I49" s="532">
        <f t="shared" si="5"/>
        <v>-27.908400981113381</v>
      </c>
      <c r="J49" s="533"/>
      <c r="K49" s="533"/>
      <c r="N49" s="18"/>
      <c r="O49" s="18"/>
      <c r="P49" s="18"/>
      <c r="Q49" s="18"/>
      <c r="R49" s="18"/>
    </row>
    <row r="50" spans="1:18" x14ac:dyDescent="0.25">
      <c r="A50" s="21" t="s">
        <v>944</v>
      </c>
      <c r="B50" s="46">
        <v>24.176027439999999</v>
      </c>
      <c r="C50" s="180">
        <f t="shared" si="0"/>
        <v>0.18477524256874253</v>
      </c>
      <c r="D50" s="46">
        <v>44.580035699999996</v>
      </c>
      <c r="E50" s="180">
        <f t="shared" si="1"/>
        <v>0.40140112970232311</v>
      </c>
      <c r="F50" s="46">
        <v>58.294446469999968</v>
      </c>
      <c r="G50" s="180">
        <f t="shared" si="2"/>
        <v>0.51843515569839738</v>
      </c>
      <c r="H50" s="180">
        <f t="shared" si="4"/>
        <v>30.763570631236558</v>
      </c>
      <c r="I50" s="532">
        <f t="shared" si="5"/>
        <v>141.12500126282109</v>
      </c>
      <c r="J50" s="533"/>
      <c r="K50" s="533"/>
      <c r="N50" s="18"/>
      <c r="O50" s="18"/>
      <c r="P50" s="18"/>
      <c r="Q50" s="18"/>
      <c r="R50" s="18"/>
    </row>
    <row r="51" spans="1:18" x14ac:dyDescent="0.25">
      <c r="A51" s="21" t="s">
        <v>942</v>
      </c>
      <c r="B51" s="46">
        <v>79.222532679999972</v>
      </c>
      <c r="C51" s="180">
        <f t="shared" si="0"/>
        <v>0.60549082057366854</v>
      </c>
      <c r="D51" s="46">
        <v>51.431496840000008</v>
      </c>
      <c r="E51" s="180">
        <f t="shared" si="1"/>
        <v>0.46309206822500293</v>
      </c>
      <c r="F51" s="46">
        <v>56.146702850000004</v>
      </c>
      <c r="G51" s="180">
        <f t="shared" si="2"/>
        <v>0.49933443744030498</v>
      </c>
      <c r="H51" s="180">
        <f t="shared" si="4"/>
        <v>9.1679346309299312</v>
      </c>
      <c r="I51" s="532">
        <f t="shared" si="5"/>
        <v>-29.127861795594356</v>
      </c>
      <c r="J51" s="533"/>
      <c r="K51" s="533"/>
      <c r="N51" s="18"/>
      <c r="O51" s="18"/>
      <c r="P51" s="18"/>
      <c r="Q51" s="18"/>
      <c r="R51" s="18"/>
    </row>
    <row r="52" spans="1:18" x14ac:dyDescent="0.25">
      <c r="A52" s="21" t="s">
        <v>941</v>
      </c>
      <c r="B52" s="46">
        <v>61.028109619999995</v>
      </c>
      <c r="C52" s="180">
        <f t="shared" si="0"/>
        <v>0.46643245200367411</v>
      </c>
      <c r="D52" s="46">
        <v>71.886803039999961</v>
      </c>
      <c r="E52" s="180">
        <f t="shared" si="1"/>
        <v>0.64727278697411139</v>
      </c>
      <c r="F52" s="46">
        <v>55.284743470000002</v>
      </c>
      <c r="G52" s="180">
        <f t="shared" si="2"/>
        <v>0.49166869786413508</v>
      </c>
      <c r="H52" s="180">
        <f t="shared" si="4"/>
        <v>-23.094725134406215</v>
      </c>
      <c r="I52" s="532">
        <f t="shared" si="5"/>
        <v>-9.4110176208338387</v>
      </c>
      <c r="J52" s="533"/>
      <c r="K52" s="533"/>
      <c r="N52" s="18"/>
      <c r="O52" s="18"/>
      <c r="P52" s="18"/>
      <c r="Q52" s="18"/>
      <c r="R52" s="18"/>
    </row>
    <row r="53" spans="1:18" x14ac:dyDescent="0.25">
      <c r="A53" s="21" t="s">
        <v>936</v>
      </c>
      <c r="B53" s="46">
        <v>47.030451980000002</v>
      </c>
      <c r="C53" s="180">
        <f t="shared" si="0"/>
        <v>0.35944959089284101</v>
      </c>
      <c r="D53" s="46">
        <v>53.757533139999957</v>
      </c>
      <c r="E53" s="180">
        <f t="shared" si="1"/>
        <v>0.48403582889921415</v>
      </c>
      <c r="F53" s="46">
        <v>53.227450789999999</v>
      </c>
      <c r="G53" s="180">
        <f t="shared" si="2"/>
        <v>0.47337239494921052</v>
      </c>
      <c r="H53" s="180">
        <f t="shared" si="4"/>
        <v>-0.98606152298594818</v>
      </c>
      <c r="I53" s="532">
        <f t="shared" si="5"/>
        <v>13.176566562948011</v>
      </c>
      <c r="J53" s="533"/>
      <c r="K53" s="533"/>
      <c r="N53" s="18"/>
      <c r="O53" s="18"/>
      <c r="P53" s="18"/>
      <c r="Q53" s="18"/>
      <c r="R53" s="18"/>
    </row>
    <row r="54" spans="1:18" x14ac:dyDescent="0.25">
      <c r="A54" s="21" t="s">
        <v>935</v>
      </c>
      <c r="B54" s="46">
        <v>69.554664949999989</v>
      </c>
      <c r="C54" s="180">
        <f t="shared" si="0"/>
        <v>0.53160016135073773</v>
      </c>
      <c r="D54" s="46">
        <v>62.040412029999999</v>
      </c>
      <c r="E54" s="180">
        <f t="shared" si="1"/>
        <v>0.55861533273827324</v>
      </c>
      <c r="F54" s="46">
        <v>52.494229620000034</v>
      </c>
      <c r="G54" s="180">
        <f t="shared" si="2"/>
        <v>0.46685157428019675</v>
      </c>
      <c r="H54" s="180">
        <f t="shared" si="4"/>
        <v>-15.387039024473037</v>
      </c>
      <c r="I54" s="532">
        <f t="shared" si="5"/>
        <v>-24.528096486790652</v>
      </c>
      <c r="J54" s="533"/>
      <c r="K54" s="533"/>
      <c r="N54" s="18"/>
      <c r="O54" s="18"/>
      <c r="P54" s="18"/>
      <c r="Q54" s="18"/>
      <c r="R54" s="18"/>
    </row>
    <row r="55" spans="1:18" x14ac:dyDescent="0.25">
      <c r="A55" s="21" t="s">
        <v>934</v>
      </c>
      <c r="B55" s="46">
        <v>94.521485699999985</v>
      </c>
      <c r="C55" s="180">
        <f t="shared" si="0"/>
        <v>0.72241936734728607</v>
      </c>
      <c r="D55" s="46">
        <v>59.526841949999991</v>
      </c>
      <c r="E55" s="180">
        <f t="shared" si="1"/>
        <v>0.53598300744163907</v>
      </c>
      <c r="F55" s="46">
        <v>50.444585289999999</v>
      </c>
      <c r="G55" s="180">
        <f t="shared" si="2"/>
        <v>0.44862329111266114</v>
      </c>
      <c r="H55" s="180">
        <f t="shared" si="4"/>
        <v>-15.257413903510454</v>
      </c>
      <c r="I55" s="532">
        <f t="shared" si="5"/>
        <v>-46.631620402047901</v>
      </c>
      <c r="J55" s="533"/>
      <c r="K55" s="533"/>
      <c r="N55" s="18"/>
      <c r="O55" s="18"/>
      <c r="P55" s="18"/>
      <c r="Q55" s="18"/>
      <c r="R55" s="18"/>
    </row>
    <row r="56" spans="1:18" x14ac:dyDescent="0.25">
      <c r="A56" s="21" t="s">
        <v>937</v>
      </c>
      <c r="B56" s="46">
        <v>39.04041002000001</v>
      </c>
      <c r="C56" s="180">
        <f t="shared" si="0"/>
        <v>0.29838240584941478</v>
      </c>
      <c r="D56" s="46">
        <v>19.834947429999996</v>
      </c>
      <c r="E56" s="180">
        <f t="shared" si="1"/>
        <v>0.17859497375835859</v>
      </c>
      <c r="F56" s="46">
        <v>49.729316390000015</v>
      </c>
      <c r="G56" s="180">
        <f t="shared" si="2"/>
        <v>0.44226212695393552</v>
      </c>
      <c r="H56" s="180">
        <f t="shared" si="4"/>
        <v>150.71564502755038</v>
      </c>
      <c r="I56" s="532">
        <f t="shared" si="5"/>
        <v>27.379083274289862</v>
      </c>
      <c r="J56" s="533"/>
      <c r="K56" s="533"/>
      <c r="N56" s="18"/>
      <c r="O56" s="18"/>
      <c r="P56" s="18"/>
      <c r="Q56" s="18"/>
      <c r="R56" s="18"/>
    </row>
    <row r="57" spans="1:18" x14ac:dyDescent="0.25">
      <c r="A57" s="21" t="s">
        <v>931</v>
      </c>
      <c r="B57" s="46">
        <v>40.916626670000007</v>
      </c>
      <c r="C57" s="180">
        <f t="shared" si="0"/>
        <v>0.31272216400346425</v>
      </c>
      <c r="D57" s="46">
        <v>40.957787029999999</v>
      </c>
      <c r="E57" s="180">
        <f t="shared" si="1"/>
        <v>0.36878620049981609</v>
      </c>
      <c r="F57" s="46">
        <v>48.112371609999968</v>
      </c>
      <c r="G57" s="180">
        <f t="shared" si="2"/>
        <v>0.42788200895750783</v>
      </c>
      <c r="H57" s="180">
        <f t="shared" si="4"/>
        <v>17.468191274004894</v>
      </c>
      <c r="I57" s="532">
        <f t="shared" si="5"/>
        <v>17.586359203154611</v>
      </c>
      <c r="J57" s="533"/>
      <c r="K57" s="533"/>
      <c r="N57" s="18"/>
      <c r="O57" s="18"/>
      <c r="P57" s="18"/>
      <c r="Q57" s="18"/>
      <c r="R57" s="18"/>
    </row>
    <row r="58" spans="1:18" x14ac:dyDescent="0.25">
      <c r="A58" s="21" t="s">
        <v>933</v>
      </c>
      <c r="B58" s="46">
        <v>40.752166240000008</v>
      </c>
      <c r="C58" s="180">
        <f t="shared" si="0"/>
        <v>0.31146520746163259</v>
      </c>
      <c r="D58" s="46">
        <v>50.699591529999957</v>
      </c>
      <c r="E58" s="180">
        <f t="shared" si="1"/>
        <v>0.45650195196205989</v>
      </c>
      <c r="F58" s="46">
        <v>46.147721419999996</v>
      </c>
      <c r="G58" s="180">
        <f t="shared" si="2"/>
        <v>0.41040961169116286</v>
      </c>
      <c r="H58" s="180">
        <f t="shared" si="4"/>
        <v>-8.9781198874285373</v>
      </c>
      <c r="I58" s="532">
        <f t="shared" si="5"/>
        <v>13.239922384062176</v>
      </c>
      <c r="J58" s="533"/>
      <c r="K58" s="533"/>
      <c r="N58" s="18"/>
      <c r="O58" s="18"/>
      <c r="P58" s="18"/>
      <c r="Q58" s="18"/>
      <c r="R58" s="18"/>
    </row>
    <row r="59" spans="1:18" x14ac:dyDescent="0.25">
      <c r="A59" s="21" t="s">
        <v>928</v>
      </c>
      <c r="B59" s="46">
        <v>35.46163786000001</v>
      </c>
      <c r="C59" s="180">
        <f t="shared" si="0"/>
        <v>0.27103016629709809</v>
      </c>
      <c r="D59" s="46">
        <v>36.946622899999994</v>
      </c>
      <c r="E59" s="180">
        <f t="shared" si="1"/>
        <v>0.33266945478793591</v>
      </c>
      <c r="F59" s="46">
        <v>45.534189189999999</v>
      </c>
      <c r="G59" s="180">
        <f t="shared" si="2"/>
        <v>0.4049532312561977</v>
      </c>
      <c r="H59" s="180">
        <f t="shared" si="4"/>
        <v>23.243169783726046</v>
      </c>
      <c r="I59" s="532">
        <f t="shared" si="5"/>
        <v>28.404078147111235</v>
      </c>
      <c r="J59" s="533"/>
      <c r="K59" s="533"/>
      <c r="N59" s="18"/>
      <c r="O59" s="18"/>
      <c r="P59" s="18"/>
      <c r="Q59" s="18"/>
      <c r="R59" s="18"/>
    </row>
    <row r="60" spans="1:18" x14ac:dyDescent="0.25">
      <c r="A60" s="21" t="s">
        <v>932</v>
      </c>
      <c r="B60" s="46">
        <v>38.972558370000009</v>
      </c>
      <c r="C60" s="180">
        <f t="shared" si="0"/>
        <v>0.29786382168092163</v>
      </c>
      <c r="D60" s="46">
        <v>46.43313040999999</v>
      </c>
      <c r="E60" s="180">
        <f t="shared" si="1"/>
        <v>0.41808649790267643</v>
      </c>
      <c r="F60" s="46">
        <v>45.388352410000032</v>
      </c>
      <c r="G60" s="180">
        <f t="shared" si="2"/>
        <v>0.4036562481244555</v>
      </c>
      <c r="H60" s="180">
        <f t="shared" si="4"/>
        <v>-2.2500701347823671</v>
      </c>
      <c r="I60" s="532">
        <f t="shared" si="5"/>
        <v>16.462337368487255</v>
      </c>
      <c r="J60" s="533"/>
      <c r="K60" s="533"/>
      <c r="N60" s="18"/>
      <c r="O60" s="18"/>
      <c r="P60" s="18"/>
      <c r="Q60" s="18"/>
      <c r="R60" s="18"/>
    </row>
    <row r="61" spans="1:18" x14ac:dyDescent="0.25">
      <c r="A61" s="21" t="s">
        <v>927</v>
      </c>
      <c r="B61" s="46">
        <v>53.123394139999988</v>
      </c>
      <c r="C61" s="180">
        <f t="shared" si="0"/>
        <v>0.40601740971110567</v>
      </c>
      <c r="D61" s="46">
        <v>29.945952450000007</v>
      </c>
      <c r="E61" s="180">
        <f t="shared" si="1"/>
        <v>0.26963502730981564</v>
      </c>
      <c r="F61" s="46">
        <v>44.79744027000001</v>
      </c>
      <c r="G61" s="180">
        <f t="shared" si="2"/>
        <v>0.39840103693615403</v>
      </c>
      <c r="H61" s="180">
        <f t="shared" si="4"/>
        <v>49.594307760947508</v>
      </c>
      <c r="I61" s="532">
        <f t="shared" si="5"/>
        <v>-15.672857513693462</v>
      </c>
      <c r="J61" s="533"/>
      <c r="K61" s="533"/>
      <c r="N61" s="18"/>
      <c r="O61" s="18"/>
      <c r="P61" s="18"/>
      <c r="Q61" s="18"/>
      <c r="R61" s="18"/>
    </row>
    <row r="62" spans="1:18" x14ac:dyDescent="0.25">
      <c r="A62" s="21" t="s">
        <v>929</v>
      </c>
      <c r="B62" s="46">
        <v>65.167224500000003</v>
      </c>
      <c r="C62" s="180">
        <f t="shared" si="0"/>
        <v>0.4980673414771406</v>
      </c>
      <c r="D62" s="46">
        <v>48.196757430000005</v>
      </c>
      <c r="E62" s="180">
        <f t="shared" si="1"/>
        <v>0.43396629402858106</v>
      </c>
      <c r="F62" s="46">
        <v>44.103557569999992</v>
      </c>
      <c r="G62" s="180">
        <f t="shared" si="2"/>
        <v>0.39223006856104364</v>
      </c>
      <c r="H62" s="180">
        <f t="shared" si="4"/>
        <v>-8.4926872226723802</v>
      </c>
      <c r="I62" s="532">
        <f t="shared" si="5"/>
        <v>-32.322485868644002</v>
      </c>
      <c r="J62" s="533"/>
      <c r="K62" s="533"/>
      <c r="N62" s="18"/>
      <c r="O62" s="18"/>
      <c r="P62" s="18"/>
      <c r="Q62" s="18"/>
      <c r="R62" s="18"/>
    </row>
    <row r="63" spans="1:18" x14ac:dyDescent="0.25">
      <c r="A63" s="21" t="s">
        <v>930</v>
      </c>
      <c r="B63" s="46">
        <v>15.520492810000002</v>
      </c>
      <c r="C63" s="180">
        <f t="shared" si="0"/>
        <v>0.11862175582284891</v>
      </c>
      <c r="D63" s="46">
        <v>75.735360349999979</v>
      </c>
      <c r="E63" s="180">
        <f t="shared" si="1"/>
        <v>0.68192541180272137</v>
      </c>
      <c r="F63" s="46">
        <v>43.928320770000013</v>
      </c>
      <c r="G63" s="180">
        <f t="shared" si="2"/>
        <v>0.3906716196316275</v>
      </c>
      <c r="H63" s="180">
        <f t="shared" si="4"/>
        <v>-41.9976077660532</v>
      </c>
      <c r="I63" s="532">
        <f t="shared" si="5"/>
        <v>183.03431667902049</v>
      </c>
      <c r="J63" s="533"/>
      <c r="K63" s="533"/>
      <c r="N63" s="18"/>
      <c r="O63" s="18"/>
      <c r="P63" s="18"/>
      <c r="Q63" s="18"/>
      <c r="R63" s="18"/>
    </row>
    <row r="64" spans="1:18" x14ac:dyDescent="0.25">
      <c r="A64" s="21" t="s">
        <v>749</v>
      </c>
      <c r="B64" s="46">
        <v>207.42497543999971</v>
      </c>
      <c r="C64" s="180">
        <f t="shared" si="0"/>
        <v>1.5853307681281077</v>
      </c>
      <c r="D64" s="46">
        <v>44.38686557999997</v>
      </c>
      <c r="E64" s="180">
        <f t="shared" si="1"/>
        <v>0.39966181515994503</v>
      </c>
      <c r="F64" s="46">
        <v>43.338776400000036</v>
      </c>
      <c r="G64" s="180">
        <f t="shared" si="2"/>
        <v>0.38542857255321772</v>
      </c>
      <c r="H64" s="180">
        <f t="shared" si="4"/>
        <v>-2.3612597247060108</v>
      </c>
      <c r="I64" s="532">
        <f t="shared" si="5"/>
        <v>-79.106288281790668</v>
      </c>
      <c r="J64" s="533"/>
      <c r="K64" s="533"/>
      <c r="N64" s="18"/>
      <c r="O64" s="18"/>
      <c r="P64" s="18"/>
      <c r="Q64" s="18"/>
      <c r="R64" s="18"/>
    </row>
    <row r="65" spans="1:18" x14ac:dyDescent="0.25">
      <c r="A65" s="21" t="s">
        <v>911</v>
      </c>
      <c r="B65" s="46">
        <v>37.47060659000001</v>
      </c>
      <c r="C65" s="180">
        <f t="shared" si="0"/>
        <v>0.28638453687431675</v>
      </c>
      <c r="D65" s="46">
        <v>59.088948169999995</v>
      </c>
      <c r="E65" s="180">
        <f t="shared" si="1"/>
        <v>0.53204018740523384</v>
      </c>
      <c r="F65" s="46">
        <v>39.890049800000007</v>
      </c>
      <c r="G65" s="180">
        <f t="shared" si="2"/>
        <v>0.35475770731475376</v>
      </c>
      <c r="H65" s="180">
        <f t="shared" si="4"/>
        <v>-32.491521620531138</v>
      </c>
      <c r="I65" s="532">
        <f t="shared" si="5"/>
        <v>6.456909642465436</v>
      </c>
      <c r="J65" s="533"/>
      <c r="K65" s="533"/>
      <c r="N65" s="18"/>
      <c r="O65" s="18"/>
      <c r="P65" s="18"/>
      <c r="Q65" s="18"/>
      <c r="R65" s="18"/>
    </row>
    <row r="66" spans="1:18" x14ac:dyDescent="0.25">
      <c r="A66" s="21" t="s">
        <v>926</v>
      </c>
      <c r="B66" s="46">
        <v>28.931387170000001</v>
      </c>
      <c r="C66" s="180">
        <f t="shared" si="0"/>
        <v>0.22112003700583802</v>
      </c>
      <c r="D66" s="46">
        <v>33.910512269999977</v>
      </c>
      <c r="E66" s="180">
        <f t="shared" si="1"/>
        <v>0.30533214521320989</v>
      </c>
      <c r="F66" s="46">
        <v>39.868277769999978</v>
      </c>
      <c r="G66" s="180">
        <f t="shared" si="2"/>
        <v>0.35456408019508046</v>
      </c>
      <c r="H66" s="180">
        <f t="shared" si="4"/>
        <v>17.569081388577935</v>
      </c>
      <c r="I66" s="532">
        <f t="shared" si="5"/>
        <v>37.802855893964306</v>
      </c>
      <c r="J66" s="533"/>
      <c r="K66" s="533"/>
      <c r="N66" s="18"/>
      <c r="O66" s="18"/>
      <c r="P66" s="18"/>
      <c r="Q66" s="18"/>
      <c r="R66" s="18"/>
    </row>
    <row r="67" spans="1:18" x14ac:dyDescent="0.25">
      <c r="A67" s="21" t="s">
        <v>733</v>
      </c>
      <c r="B67" s="46">
        <v>38.011357890000021</v>
      </c>
      <c r="C67" s="180">
        <f t="shared" si="0"/>
        <v>0.29051745130266282</v>
      </c>
      <c r="D67" s="46">
        <v>37.999777229999992</v>
      </c>
      <c r="E67" s="180">
        <f t="shared" si="1"/>
        <v>0.34215211515765148</v>
      </c>
      <c r="F67" s="46">
        <v>39.7398375</v>
      </c>
      <c r="G67" s="180">
        <f t="shared" si="2"/>
        <v>0.35342181098407338</v>
      </c>
      <c r="H67" s="180">
        <f t="shared" si="4"/>
        <v>4.5791328182478663</v>
      </c>
      <c r="I67" s="532">
        <f t="shared" si="5"/>
        <v>4.5472714103031553</v>
      </c>
      <c r="J67" s="533"/>
      <c r="K67" s="533"/>
      <c r="N67" s="18"/>
      <c r="O67" s="18"/>
      <c r="P67" s="18"/>
      <c r="Q67" s="18"/>
      <c r="R67" s="18"/>
    </row>
    <row r="68" spans="1:18" x14ac:dyDescent="0.25">
      <c r="A68" s="21" t="s">
        <v>924</v>
      </c>
      <c r="B68" s="46">
        <v>32.058584469999992</v>
      </c>
      <c r="C68" s="180">
        <f t="shared" ref="C68:C131" si="6">(B68/$B$259)*100</f>
        <v>0.24502092978492962</v>
      </c>
      <c r="D68" s="46">
        <v>57.158914109999984</v>
      </c>
      <c r="E68" s="180">
        <f t="shared" ref="E68:E131" si="7">(D68/$D$259)*100</f>
        <v>0.51466205300306778</v>
      </c>
      <c r="F68" s="46">
        <v>39.448523520000016</v>
      </c>
      <c r="G68" s="180">
        <f t="shared" ref="G68:G131" si="8">(F68/$F$259)*100</f>
        <v>0.35083104260519982</v>
      </c>
      <c r="H68" s="180">
        <f t="shared" si="4"/>
        <v>-30.984476989743104</v>
      </c>
      <c r="I68" s="532">
        <f t="shared" si="5"/>
        <v>23.051357919172744</v>
      </c>
      <c r="J68" s="533"/>
      <c r="K68" s="533"/>
      <c r="N68" s="18"/>
      <c r="O68" s="18"/>
      <c r="P68" s="18"/>
      <c r="Q68" s="18"/>
      <c r="R68" s="18"/>
    </row>
    <row r="69" spans="1:18" x14ac:dyDescent="0.25">
      <c r="A69" s="21" t="s">
        <v>923</v>
      </c>
      <c r="B69" s="46">
        <v>36.103140649999993</v>
      </c>
      <c r="C69" s="180">
        <f t="shared" si="6"/>
        <v>0.27593311546544053</v>
      </c>
      <c r="D69" s="46">
        <v>42.867877660000012</v>
      </c>
      <c r="E69" s="180">
        <f t="shared" si="7"/>
        <v>0.3859847631451086</v>
      </c>
      <c r="F69" s="46">
        <v>39.381620789999999</v>
      </c>
      <c r="G69" s="180">
        <f t="shared" si="8"/>
        <v>0.35023605064036395</v>
      </c>
      <c r="H69" s="180">
        <f t="shared" ref="H69:H132" si="9">((F69/D69)-1)*100</f>
        <v>-8.132562329422333</v>
      </c>
      <c r="I69" s="532">
        <f t="shared" ref="I69:I132" si="10">((F69/B69)-1)*100</f>
        <v>9.0808724143504946</v>
      </c>
      <c r="J69" s="533"/>
      <c r="K69" s="533"/>
      <c r="N69" s="18"/>
      <c r="O69" s="18"/>
      <c r="P69" s="18"/>
      <c r="Q69" s="18"/>
      <c r="R69" s="18"/>
    </row>
    <row r="70" spans="1:18" x14ac:dyDescent="0.25">
      <c r="A70" s="21" t="s">
        <v>922</v>
      </c>
      <c r="B70" s="46">
        <v>28.594046309999996</v>
      </c>
      <c r="C70" s="180">
        <f t="shared" si="6"/>
        <v>0.21854177060580418</v>
      </c>
      <c r="D70" s="46">
        <v>39.716583759999999</v>
      </c>
      <c r="E70" s="180">
        <f t="shared" si="7"/>
        <v>0.3576103369782842</v>
      </c>
      <c r="F70" s="46">
        <v>39.296061899999998</v>
      </c>
      <c r="G70" s="180">
        <f t="shared" si="8"/>
        <v>0.3494751421980587</v>
      </c>
      <c r="H70" s="180">
        <f t="shared" si="9"/>
        <v>-1.0588067255258848</v>
      </c>
      <c r="I70" s="532">
        <f t="shared" si="10"/>
        <v>37.427426234031323</v>
      </c>
      <c r="J70" s="533"/>
      <c r="K70" s="533"/>
      <c r="N70" s="18"/>
      <c r="O70" s="18"/>
      <c r="P70" s="18"/>
      <c r="Q70" s="18"/>
      <c r="R70" s="18"/>
    </row>
    <row r="71" spans="1:18" x14ac:dyDescent="0.25">
      <c r="A71" s="21" t="s">
        <v>921</v>
      </c>
      <c r="B71" s="46">
        <v>36.129141770000004</v>
      </c>
      <c r="C71" s="180">
        <f t="shared" si="6"/>
        <v>0.27613183972925864</v>
      </c>
      <c r="D71" s="46">
        <v>45.585917619999996</v>
      </c>
      <c r="E71" s="180">
        <f t="shared" si="7"/>
        <v>0.41045814665386277</v>
      </c>
      <c r="F71" s="46">
        <v>38.445215080000011</v>
      </c>
      <c r="G71" s="180">
        <f t="shared" si="8"/>
        <v>0.34190823093440709</v>
      </c>
      <c r="H71" s="180">
        <f t="shared" si="9"/>
        <v>-15.664272900074582</v>
      </c>
      <c r="I71" s="532">
        <f t="shared" si="10"/>
        <v>6.4105406232571216</v>
      </c>
      <c r="J71" s="533"/>
      <c r="K71" s="533"/>
      <c r="N71" s="18"/>
      <c r="O71" s="18"/>
      <c r="P71" s="18"/>
      <c r="Q71" s="18"/>
      <c r="R71" s="18"/>
    </row>
    <row r="72" spans="1:18" x14ac:dyDescent="0.25">
      <c r="A72" s="21" t="s">
        <v>915</v>
      </c>
      <c r="B72" s="46">
        <v>64.363957439999979</v>
      </c>
      <c r="C72" s="180">
        <f t="shared" si="6"/>
        <v>0.49192804227972936</v>
      </c>
      <c r="D72" s="46">
        <v>36.199490159999954</v>
      </c>
      <c r="E72" s="180">
        <f t="shared" si="7"/>
        <v>0.32594222989534555</v>
      </c>
      <c r="F72" s="46">
        <v>38.340046680000015</v>
      </c>
      <c r="G72" s="180">
        <f t="shared" si="8"/>
        <v>0.34097292750277386</v>
      </c>
      <c r="H72" s="180">
        <f t="shared" si="9"/>
        <v>5.9132228397110298</v>
      </c>
      <c r="I72" s="532">
        <f t="shared" si="10"/>
        <v>-40.432428015725151</v>
      </c>
      <c r="J72" s="533"/>
      <c r="K72" s="533"/>
      <c r="N72" s="18"/>
      <c r="O72" s="18"/>
      <c r="P72" s="18"/>
      <c r="Q72" s="18"/>
      <c r="R72" s="18"/>
    </row>
    <row r="73" spans="1:18" x14ac:dyDescent="0.25">
      <c r="A73" s="21" t="s">
        <v>918</v>
      </c>
      <c r="B73" s="46">
        <v>35.690535149999995</v>
      </c>
      <c r="C73" s="180">
        <f t="shared" si="6"/>
        <v>0.27277960806903689</v>
      </c>
      <c r="D73" s="46">
        <v>27.442214779999972</v>
      </c>
      <c r="E73" s="180">
        <f t="shared" si="7"/>
        <v>0.24709123358162269</v>
      </c>
      <c r="F73" s="46">
        <v>38.220538389999994</v>
      </c>
      <c r="G73" s="180">
        <f t="shared" si="8"/>
        <v>0.33991009385934445</v>
      </c>
      <c r="H73" s="180">
        <f t="shared" si="9"/>
        <v>39.276434851954157</v>
      </c>
      <c r="I73" s="532">
        <f t="shared" si="10"/>
        <v>7.0887231849197985</v>
      </c>
      <c r="J73" s="533"/>
      <c r="K73" s="533"/>
      <c r="N73" s="18"/>
      <c r="O73" s="18"/>
      <c r="P73" s="18"/>
      <c r="Q73" s="18"/>
      <c r="R73" s="18"/>
    </row>
    <row r="74" spans="1:18" x14ac:dyDescent="0.25">
      <c r="A74" s="21" t="s">
        <v>754</v>
      </c>
      <c r="B74" s="46">
        <v>116.40171732000002</v>
      </c>
      <c r="C74" s="180">
        <f t="shared" si="6"/>
        <v>0.88964804522165952</v>
      </c>
      <c r="D74" s="46">
        <v>63.238221220000014</v>
      </c>
      <c r="E74" s="180">
        <f t="shared" si="7"/>
        <v>0.56940047354142043</v>
      </c>
      <c r="F74" s="46">
        <v>38.199221960000003</v>
      </c>
      <c r="G74" s="180">
        <f t="shared" si="8"/>
        <v>0.33972051856743968</v>
      </c>
      <c r="H74" s="180">
        <f t="shared" si="9"/>
        <v>-39.594724166721285</v>
      </c>
      <c r="I74" s="532">
        <f t="shared" si="10"/>
        <v>-67.18328316842053</v>
      </c>
      <c r="J74" s="533"/>
      <c r="K74" s="533"/>
      <c r="N74" s="18"/>
      <c r="O74" s="18"/>
      <c r="P74" s="18"/>
      <c r="Q74" s="18"/>
      <c r="R74" s="18"/>
    </row>
    <row r="75" spans="1:18" x14ac:dyDescent="0.25">
      <c r="A75" s="21" t="s">
        <v>920</v>
      </c>
      <c r="B75" s="46">
        <v>43.921610210000011</v>
      </c>
      <c r="C75" s="180">
        <f t="shared" si="6"/>
        <v>0.33568898780843343</v>
      </c>
      <c r="D75" s="46">
        <v>40.840001209999997</v>
      </c>
      <c r="E75" s="180">
        <f t="shared" si="7"/>
        <v>0.36772565040225491</v>
      </c>
      <c r="F75" s="46">
        <v>37.692918559999988</v>
      </c>
      <c r="G75" s="180">
        <f t="shared" si="8"/>
        <v>0.33521776576842788</v>
      </c>
      <c r="H75" s="180">
        <f t="shared" si="9"/>
        <v>-7.7058828520049634</v>
      </c>
      <c r="I75" s="532">
        <f t="shared" si="10"/>
        <v>-14.181382741249958</v>
      </c>
      <c r="J75" s="533"/>
      <c r="K75" s="533"/>
      <c r="N75" s="18"/>
      <c r="O75" s="18"/>
      <c r="P75" s="18"/>
      <c r="Q75" s="18"/>
      <c r="R75" s="18"/>
    </row>
    <row r="76" spans="1:18" x14ac:dyDescent="0.25">
      <c r="A76" s="21" t="s">
        <v>919</v>
      </c>
      <c r="B76" s="46">
        <v>19.133603819999998</v>
      </c>
      <c r="C76" s="180">
        <f t="shared" si="6"/>
        <v>0.14623644417301002</v>
      </c>
      <c r="D76" s="46">
        <v>23.616412150000002</v>
      </c>
      <c r="E76" s="180">
        <f t="shared" si="7"/>
        <v>0.21264349316179823</v>
      </c>
      <c r="F76" s="46">
        <v>37.067353700000005</v>
      </c>
      <c r="G76" s="180">
        <f t="shared" si="8"/>
        <v>0.32965437448105306</v>
      </c>
      <c r="H76" s="180">
        <f t="shared" si="9"/>
        <v>56.955906191703235</v>
      </c>
      <c r="I76" s="532">
        <f t="shared" si="10"/>
        <v>93.729075027957862</v>
      </c>
      <c r="J76" s="533"/>
      <c r="K76" s="533"/>
      <c r="N76" s="18"/>
      <c r="O76" s="18"/>
      <c r="P76" s="18"/>
      <c r="Q76" s="18"/>
      <c r="R76" s="18"/>
    </row>
    <row r="77" spans="1:18" x14ac:dyDescent="0.25">
      <c r="A77" s="21" t="s">
        <v>916</v>
      </c>
      <c r="B77" s="46">
        <v>44.567750660000016</v>
      </c>
      <c r="C77" s="180">
        <f t="shared" si="6"/>
        <v>0.34062738220257155</v>
      </c>
      <c r="D77" s="46">
        <v>30.630248379999991</v>
      </c>
      <c r="E77" s="180">
        <f t="shared" si="7"/>
        <v>0.27579646605789393</v>
      </c>
      <c r="F77" s="46">
        <v>36.651321320000015</v>
      </c>
      <c r="G77" s="180">
        <f t="shared" si="8"/>
        <v>0.32595443692676357</v>
      </c>
      <c r="H77" s="180">
        <f t="shared" si="9"/>
        <v>19.65727755551432</v>
      </c>
      <c r="I77" s="532">
        <f t="shared" si="10"/>
        <v>-17.762685400914958</v>
      </c>
      <c r="J77" s="533"/>
      <c r="K77" s="533"/>
      <c r="N77" s="18"/>
      <c r="O77" s="18"/>
      <c r="P77" s="18"/>
      <c r="Q77" s="18"/>
      <c r="R77" s="18"/>
    </row>
    <row r="78" spans="1:18" x14ac:dyDescent="0.25">
      <c r="A78" s="21" t="s">
        <v>914</v>
      </c>
      <c r="B78" s="46">
        <v>5.0714745300000015</v>
      </c>
      <c r="C78" s="180">
        <f t="shared" si="6"/>
        <v>3.8760831935172137E-2</v>
      </c>
      <c r="D78" s="46">
        <v>9.7819428999999989</v>
      </c>
      <c r="E78" s="180">
        <f t="shared" si="7"/>
        <v>8.8077159856191384E-2</v>
      </c>
      <c r="F78" s="46">
        <v>34.988451039999987</v>
      </c>
      <c r="G78" s="180">
        <f t="shared" si="8"/>
        <v>0.31116588562005015</v>
      </c>
      <c r="H78" s="180">
        <f t="shared" si="9"/>
        <v>257.68406540177199</v>
      </c>
      <c r="I78" s="532">
        <f t="shared" si="10"/>
        <v>589.90686698765649</v>
      </c>
      <c r="J78" s="533"/>
      <c r="K78" s="533"/>
      <c r="N78" s="18"/>
      <c r="O78" s="18"/>
      <c r="P78" s="18"/>
      <c r="Q78" s="18"/>
      <c r="R78" s="18"/>
    </row>
    <row r="79" spans="1:18" x14ac:dyDescent="0.25">
      <c r="A79" s="21" t="s">
        <v>912</v>
      </c>
      <c r="B79" s="46">
        <v>34.534530389999979</v>
      </c>
      <c r="C79" s="180">
        <f t="shared" si="6"/>
        <v>0.26394436578327513</v>
      </c>
      <c r="D79" s="46">
        <v>25.163771100000009</v>
      </c>
      <c r="E79" s="180">
        <f t="shared" si="7"/>
        <v>0.22657599951429996</v>
      </c>
      <c r="F79" s="46">
        <v>34.503689439999974</v>
      </c>
      <c r="G79" s="180">
        <f t="shared" si="8"/>
        <v>0.30685471241589346</v>
      </c>
      <c r="H79" s="180">
        <f t="shared" si="9"/>
        <v>37.116528770204724</v>
      </c>
      <c r="I79" s="532">
        <f t="shared" si="10"/>
        <v>-8.9304674630630299E-2</v>
      </c>
      <c r="J79" s="533"/>
      <c r="K79" s="533"/>
      <c r="N79" s="18"/>
      <c r="O79" s="18"/>
      <c r="P79" s="18"/>
      <c r="Q79" s="18"/>
      <c r="R79" s="18"/>
    </row>
    <row r="80" spans="1:18" x14ac:dyDescent="0.25">
      <c r="A80" s="21" t="s">
        <v>913</v>
      </c>
      <c r="B80" s="46">
        <v>29.506333850000001</v>
      </c>
      <c r="C80" s="180">
        <f t="shared" si="6"/>
        <v>0.22551430370348924</v>
      </c>
      <c r="D80" s="46">
        <v>33.102557249999997</v>
      </c>
      <c r="E80" s="180">
        <f t="shared" si="7"/>
        <v>0.29805727311667063</v>
      </c>
      <c r="F80" s="46">
        <v>34.343775900000004</v>
      </c>
      <c r="G80" s="180">
        <f t="shared" si="8"/>
        <v>0.30543253918965257</v>
      </c>
      <c r="H80" s="180">
        <f t="shared" si="9"/>
        <v>3.7496155980517365</v>
      </c>
      <c r="I80" s="532">
        <f t="shared" si="10"/>
        <v>16.394588614742478</v>
      </c>
      <c r="J80" s="533"/>
      <c r="K80" s="533"/>
      <c r="N80" s="18"/>
      <c r="O80" s="18"/>
      <c r="P80" s="18"/>
      <c r="Q80" s="18"/>
      <c r="R80" s="18"/>
    </row>
    <row r="81" spans="1:18" x14ac:dyDescent="0.25">
      <c r="A81" s="21" t="s">
        <v>909</v>
      </c>
      <c r="B81" s="46">
        <v>33.82441429</v>
      </c>
      <c r="C81" s="180">
        <f t="shared" si="6"/>
        <v>0.25851701114632719</v>
      </c>
      <c r="D81" s="46">
        <v>34.562983100000025</v>
      </c>
      <c r="E81" s="180">
        <f t="shared" si="7"/>
        <v>0.31120702898455316</v>
      </c>
      <c r="F81" s="46">
        <v>34.302709690000007</v>
      </c>
      <c r="G81" s="180">
        <f t="shared" si="8"/>
        <v>0.30506732143282478</v>
      </c>
      <c r="H81" s="180">
        <f t="shared" si="9"/>
        <v>-0.75304093181707277</v>
      </c>
      <c r="I81" s="532">
        <f t="shared" si="10"/>
        <v>1.4140537538928299</v>
      </c>
      <c r="J81" s="533"/>
      <c r="K81" s="533"/>
      <c r="N81" s="18"/>
      <c r="O81" s="18"/>
      <c r="P81" s="18"/>
      <c r="Q81" s="18"/>
      <c r="R81" s="18"/>
    </row>
    <row r="82" spans="1:18" x14ac:dyDescent="0.25">
      <c r="A82" s="21" t="s">
        <v>910</v>
      </c>
      <c r="B82" s="46">
        <v>47.318382390000011</v>
      </c>
      <c r="C82" s="180">
        <f t="shared" si="6"/>
        <v>0.36165021758730959</v>
      </c>
      <c r="D82" s="46">
        <v>50.223176850000002</v>
      </c>
      <c r="E82" s="180">
        <f t="shared" si="7"/>
        <v>0.45221228759198967</v>
      </c>
      <c r="F82" s="46">
        <v>33.353640680000005</v>
      </c>
      <c r="G82" s="180">
        <f t="shared" si="8"/>
        <v>0.29662688208117766</v>
      </c>
      <c r="H82" s="180">
        <f t="shared" si="9"/>
        <v>-33.589145944279295</v>
      </c>
      <c r="I82" s="532">
        <f t="shared" si="10"/>
        <v>-29.512297345463001</v>
      </c>
      <c r="J82" s="533"/>
      <c r="K82" s="533"/>
      <c r="N82" s="18"/>
      <c r="O82" s="18"/>
      <c r="P82" s="18"/>
      <c r="Q82" s="18"/>
      <c r="R82" s="18"/>
    </row>
    <row r="83" spans="1:18" x14ac:dyDescent="0.25">
      <c r="A83" s="21" t="s">
        <v>907</v>
      </c>
      <c r="B83" s="46">
        <v>38.602084139999995</v>
      </c>
      <c r="C83" s="180">
        <f t="shared" si="6"/>
        <v>0.29503231986021888</v>
      </c>
      <c r="D83" s="46">
        <v>18.911422080000005</v>
      </c>
      <c r="E83" s="180">
        <f t="shared" si="7"/>
        <v>0.1702794999598769</v>
      </c>
      <c r="F83" s="46">
        <v>31.934483840000006</v>
      </c>
      <c r="G83" s="180">
        <f t="shared" si="8"/>
        <v>0.28400576906169855</v>
      </c>
      <c r="H83" s="180">
        <f t="shared" si="9"/>
        <v>68.863471530111383</v>
      </c>
      <c r="I83" s="532">
        <f t="shared" si="10"/>
        <v>-17.272643300341738</v>
      </c>
      <c r="J83" s="533"/>
      <c r="K83" s="533"/>
      <c r="N83" s="18"/>
      <c r="O83" s="18"/>
      <c r="P83" s="18"/>
      <c r="Q83" s="18"/>
      <c r="R83" s="18"/>
    </row>
    <row r="84" spans="1:18" x14ac:dyDescent="0.25">
      <c r="A84" s="21" t="s">
        <v>908</v>
      </c>
      <c r="B84" s="46">
        <v>36.537335419999984</v>
      </c>
      <c r="C84" s="180">
        <f t="shared" si="6"/>
        <v>0.27925162774575368</v>
      </c>
      <c r="D84" s="46">
        <v>53.226571939999999</v>
      </c>
      <c r="E84" s="180">
        <f t="shared" si="7"/>
        <v>0.47925502461851943</v>
      </c>
      <c r="F84" s="46">
        <v>31.557034810000008</v>
      </c>
      <c r="G84" s="180">
        <f t="shared" si="8"/>
        <v>0.28064896822584257</v>
      </c>
      <c r="H84" s="180">
        <f t="shared" si="9"/>
        <v>-40.711878184503632</v>
      </c>
      <c r="I84" s="532">
        <f t="shared" si="10"/>
        <v>-13.630716506146301</v>
      </c>
      <c r="J84" s="533"/>
      <c r="K84" s="533"/>
      <c r="N84" s="18"/>
      <c r="O84" s="18"/>
      <c r="P84" s="18"/>
      <c r="Q84" s="18"/>
      <c r="R84" s="18"/>
    </row>
    <row r="85" spans="1:18" x14ac:dyDescent="0.25">
      <c r="A85" s="21" t="s">
        <v>747</v>
      </c>
      <c r="B85" s="46">
        <v>81.196421620000024</v>
      </c>
      <c r="C85" s="180">
        <f t="shared" si="6"/>
        <v>0.62057707941406093</v>
      </c>
      <c r="D85" s="46">
        <v>7.5375640199999978</v>
      </c>
      <c r="E85" s="180">
        <f t="shared" si="7"/>
        <v>6.7868647149414082E-2</v>
      </c>
      <c r="F85" s="46">
        <v>31.36298541999998</v>
      </c>
      <c r="G85" s="180">
        <f t="shared" si="8"/>
        <v>0.27892321162620459</v>
      </c>
      <c r="H85" s="180">
        <f t="shared" si="9"/>
        <v>316.08914148897657</v>
      </c>
      <c r="I85" s="532">
        <f t="shared" si="10"/>
        <v>-61.373931517845669</v>
      </c>
      <c r="J85" s="533"/>
      <c r="K85" s="533"/>
      <c r="N85" s="18"/>
      <c r="O85" s="18"/>
      <c r="P85" s="18"/>
      <c r="Q85" s="18"/>
      <c r="R85" s="18"/>
    </row>
    <row r="86" spans="1:18" x14ac:dyDescent="0.25">
      <c r="A86" s="21" t="s">
        <v>905</v>
      </c>
      <c r="B86" s="46">
        <v>42.914064619999991</v>
      </c>
      <c r="C86" s="180">
        <f t="shared" si="6"/>
        <v>0.32798840584750716</v>
      </c>
      <c r="D86" s="46">
        <v>36.439821269999989</v>
      </c>
      <c r="E86" s="180">
        <f t="shared" si="7"/>
        <v>0.32810618462400065</v>
      </c>
      <c r="F86" s="46">
        <v>30.595990579999999</v>
      </c>
      <c r="G86" s="180">
        <f t="shared" si="8"/>
        <v>0.27210202859121524</v>
      </c>
      <c r="H86" s="180">
        <f t="shared" si="9"/>
        <v>-16.036935655365227</v>
      </c>
      <c r="I86" s="532">
        <f t="shared" si="10"/>
        <v>-28.70404877532664</v>
      </c>
      <c r="J86" s="533"/>
      <c r="K86" s="533"/>
      <c r="N86" s="18"/>
      <c r="O86" s="18"/>
      <c r="P86" s="18"/>
      <c r="Q86" s="18"/>
      <c r="R86" s="18"/>
    </row>
    <row r="87" spans="1:18" x14ac:dyDescent="0.25">
      <c r="A87" s="21" t="s">
        <v>889</v>
      </c>
      <c r="B87" s="46">
        <v>18.415355460000001</v>
      </c>
      <c r="C87" s="180">
        <f t="shared" si="6"/>
        <v>0.14074693539109903</v>
      </c>
      <c r="D87" s="46">
        <v>15.649800569999998</v>
      </c>
      <c r="E87" s="180">
        <f t="shared" si="7"/>
        <v>0.14091167783461556</v>
      </c>
      <c r="F87" s="46">
        <v>30.500085340000027</v>
      </c>
      <c r="G87" s="180">
        <f t="shared" si="8"/>
        <v>0.27124910603954017</v>
      </c>
      <c r="H87" s="180">
        <f t="shared" si="9"/>
        <v>94.891207741441704</v>
      </c>
      <c r="I87" s="532">
        <f t="shared" si="10"/>
        <v>65.623114939319379</v>
      </c>
      <c r="J87" s="533"/>
      <c r="K87" s="533"/>
      <c r="N87" s="18"/>
      <c r="O87" s="18"/>
      <c r="P87" s="18"/>
      <c r="Q87" s="18"/>
      <c r="R87" s="18"/>
    </row>
    <row r="88" spans="1:18" x14ac:dyDescent="0.25">
      <c r="A88" s="21" t="s">
        <v>906</v>
      </c>
      <c r="B88" s="46">
        <v>32.776164239999986</v>
      </c>
      <c r="C88" s="180">
        <f t="shared" si="6"/>
        <v>0.25050532859251845</v>
      </c>
      <c r="D88" s="46">
        <v>22.44160127999999</v>
      </c>
      <c r="E88" s="180">
        <f t="shared" si="7"/>
        <v>0.20206543051559506</v>
      </c>
      <c r="F88" s="46">
        <v>29.921680090000009</v>
      </c>
      <c r="G88" s="180">
        <f t="shared" si="8"/>
        <v>0.26610512348204479</v>
      </c>
      <c r="H88" s="180">
        <f t="shared" si="9"/>
        <v>33.331306071578261</v>
      </c>
      <c r="I88" s="532">
        <f t="shared" si="10"/>
        <v>-8.7090244273195552</v>
      </c>
      <c r="J88" s="533"/>
      <c r="K88" s="533"/>
      <c r="N88" s="18"/>
      <c r="O88" s="18"/>
      <c r="P88" s="18"/>
      <c r="Q88" s="18"/>
      <c r="R88" s="18"/>
    </row>
    <row r="89" spans="1:18" x14ac:dyDescent="0.25">
      <c r="A89" s="21" t="s">
        <v>904</v>
      </c>
      <c r="B89" s="46">
        <v>39.640600079999984</v>
      </c>
      <c r="C89" s="180">
        <f t="shared" si="6"/>
        <v>0.30296960547098517</v>
      </c>
      <c r="D89" s="46">
        <v>61.923373480000002</v>
      </c>
      <c r="E89" s="180">
        <f t="shared" si="7"/>
        <v>0.55756151110150143</v>
      </c>
      <c r="F89" s="46">
        <v>28.875882999999991</v>
      </c>
      <c r="G89" s="180">
        <f t="shared" si="8"/>
        <v>0.25680444374298744</v>
      </c>
      <c r="H89" s="180">
        <f t="shared" si="9"/>
        <v>-53.368362579073114</v>
      </c>
      <c r="I89" s="532">
        <f t="shared" si="10"/>
        <v>-27.155787395436416</v>
      </c>
      <c r="J89" s="533"/>
      <c r="K89" s="533"/>
      <c r="N89" s="18"/>
      <c r="O89" s="18"/>
      <c r="P89" s="18"/>
      <c r="Q89" s="18"/>
      <c r="R89" s="18"/>
    </row>
    <row r="90" spans="1:18" x14ac:dyDescent="0.25">
      <c r="A90" s="21" t="s">
        <v>902</v>
      </c>
      <c r="B90" s="46">
        <v>27.959357820000008</v>
      </c>
      <c r="C90" s="180">
        <f t="shared" si="6"/>
        <v>0.2136909025305429</v>
      </c>
      <c r="D90" s="46">
        <v>30.44145181999999</v>
      </c>
      <c r="E90" s="180">
        <f t="shared" si="7"/>
        <v>0.27409653129386879</v>
      </c>
      <c r="F90" s="46">
        <v>28.128725459999991</v>
      </c>
      <c r="G90" s="180">
        <f t="shared" si="8"/>
        <v>0.25015968152227619</v>
      </c>
      <c r="H90" s="180">
        <f t="shared" si="9"/>
        <v>-7.5972932357994178</v>
      </c>
      <c r="I90" s="532">
        <f t="shared" si="10"/>
        <v>0.60576369847389344</v>
      </c>
      <c r="J90" s="533"/>
      <c r="K90" s="533"/>
      <c r="N90" s="18"/>
      <c r="O90" s="18"/>
      <c r="P90" s="18"/>
      <c r="Q90" s="18"/>
      <c r="R90" s="18"/>
    </row>
    <row r="91" spans="1:18" x14ac:dyDescent="0.25">
      <c r="A91" s="21" t="s">
        <v>903</v>
      </c>
      <c r="B91" s="46">
        <v>15.906862930000003</v>
      </c>
      <c r="C91" s="180">
        <f t="shared" si="6"/>
        <v>0.12157474852694365</v>
      </c>
      <c r="D91" s="46">
        <v>13.741631540000002</v>
      </c>
      <c r="E91" s="180">
        <f t="shared" si="7"/>
        <v>0.12373041738297835</v>
      </c>
      <c r="F91" s="46">
        <v>27.760659999999994</v>
      </c>
      <c r="G91" s="180">
        <f t="shared" si="8"/>
        <v>0.24688633241927885</v>
      </c>
      <c r="H91" s="180">
        <f t="shared" si="9"/>
        <v>102.01866073320716</v>
      </c>
      <c r="I91" s="532">
        <f t="shared" si="10"/>
        <v>74.520017694023039</v>
      </c>
      <c r="J91" s="533"/>
      <c r="K91" s="533"/>
      <c r="N91" s="18"/>
      <c r="O91" s="18"/>
      <c r="P91" s="18"/>
      <c r="Q91" s="18"/>
      <c r="R91" s="18"/>
    </row>
    <row r="92" spans="1:18" x14ac:dyDescent="0.25">
      <c r="A92" s="21" t="s">
        <v>901</v>
      </c>
      <c r="B92" s="46">
        <v>18.689080629999999</v>
      </c>
      <c r="C92" s="180">
        <f t="shared" si="6"/>
        <v>0.14283899269081229</v>
      </c>
      <c r="D92" s="46">
        <v>11.292402170000001</v>
      </c>
      <c r="E92" s="180">
        <f t="shared" si="7"/>
        <v>0.10167741943039685</v>
      </c>
      <c r="F92" s="46">
        <v>27.309585660000003</v>
      </c>
      <c r="G92" s="180">
        <f t="shared" si="8"/>
        <v>0.24287475310340365</v>
      </c>
      <c r="H92" s="180">
        <f t="shared" si="9"/>
        <v>141.84035645269623</v>
      </c>
      <c r="I92" s="532">
        <f t="shared" si="10"/>
        <v>46.12589137296694</v>
      </c>
      <c r="J92" s="533"/>
      <c r="K92" s="533"/>
      <c r="N92" s="18"/>
      <c r="O92" s="18"/>
      <c r="P92" s="18"/>
      <c r="Q92" s="18"/>
      <c r="R92" s="18"/>
    </row>
    <row r="93" spans="1:18" x14ac:dyDescent="0.25">
      <c r="A93" s="21" t="s">
        <v>466</v>
      </c>
      <c r="B93" s="46">
        <v>36.016693590000003</v>
      </c>
      <c r="C93" s="180">
        <f t="shared" si="6"/>
        <v>0.275272408220609</v>
      </c>
      <c r="D93" s="46">
        <v>30.977419199999993</v>
      </c>
      <c r="E93" s="180">
        <f t="shared" si="7"/>
        <v>0.27892241149870667</v>
      </c>
      <c r="F93" s="46">
        <v>27.252013519999995</v>
      </c>
      <c r="G93" s="180">
        <f t="shared" si="8"/>
        <v>0.24236274169970751</v>
      </c>
      <c r="H93" s="180">
        <f t="shared" si="9"/>
        <v>-12.02619771501171</v>
      </c>
      <c r="I93" s="532">
        <f t="shared" si="10"/>
        <v>-24.335049101879559</v>
      </c>
      <c r="J93" s="533"/>
      <c r="K93" s="533"/>
      <c r="N93" s="18"/>
      <c r="O93" s="18"/>
      <c r="P93" s="18"/>
      <c r="Q93" s="18"/>
      <c r="R93" s="18"/>
    </row>
    <row r="94" spans="1:18" x14ac:dyDescent="0.25">
      <c r="A94" s="21" t="s">
        <v>900</v>
      </c>
      <c r="B94" s="46">
        <v>30.49345791</v>
      </c>
      <c r="C94" s="180">
        <f t="shared" si="6"/>
        <v>0.23305880571419432</v>
      </c>
      <c r="D94" s="46">
        <v>11.833730289999997</v>
      </c>
      <c r="E94" s="180">
        <f t="shared" si="7"/>
        <v>0.10655156803740734</v>
      </c>
      <c r="F94" s="46">
        <v>26.266857640000001</v>
      </c>
      <c r="G94" s="180">
        <f t="shared" si="8"/>
        <v>0.23360136779597157</v>
      </c>
      <c r="H94" s="180">
        <f t="shared" si="9"/>
        <v>121.96599885495623</v>
      </c>
      <c r="I94" s="532">
        <f t="shared" si="10"/>
        <v>-13.860678846179431</v>
      </c>
      <c r="J94" s="533"/>
      <c r="K94" s="533"/>
      <c r="N94" s="18"/>
      <c r="O94" s="18"/>
      <c r="P94" s="18"/>
      <c r="Q94" s="18"/>
      <c r="R94" s="18"/>
    </row>
    <row r="95" spans="1:18" x14ac:dyDescent="0.25">
      <c r="A95" s="21" t="s">
        <v>748</v>
      </c>
      <c r="B95" s="46">
        <v>16.062881099999998</v>
      </c>
      <c r="C95" s="180">
        <f t="shared" si="6"/>
        <v>0.1227671816211907</v>
      </c>
      <c r="D95" s="46">
        <v>12.038585680000002</v>
      </c>
      <c r="E95" s="180">
        <f t="shared" si="7"/>
        <v>0.10839609740308512</v>
      </c>
      <c r="F95" s="46">
        <v>26.068383340000008</v>
      </c>
      <c r="G95" s="180">
        <f t="shared" si="8"/>
        <v>0.23183625875294153</v>
      </c>
      <c r="H95" s="180">
        <f t="shared" si="9"/>
        <v>116.54024843888476</v>
      </c>
      <c r="I95" s="532">
        <f t="shared" si="10"/>
        <v>62.289586642087571</v>
      </c>
      <c r="J95" s="533"/>
      <c r="K95" s="533"/>
      <c r="N95" s="18"/>
      <c r="O95" s="18"/>
      <c r="P95" s="18"/>
      <c r="Q95" s="18"/>
      <c r="R95" s="18"/>
    </row>
    <row r="96" spans="1:18" x14ac:dyDescent="0.25">
      <c r="A96" s="21" t="s">
        <v>899</v>
      </c>
      <c r="B96" s="46">
        <v>15.900008079999999</v>
      </c>
      <c r="C96" s="180">
        <f t="shared" si="6"/>
        <v>0.12152235751379367</v>
      </c>
      <c r="D96" s="46">
        <v>25.056648160000005</v>
      </c>
      <c r="E96" s="180">
        <f t="shared" si="7"/>
        <v>0.22561145858341333</v>
      </c>
      <c r="F96" s="46">
        <v>26.007425999999999</v>
      </c>
      <c r="G96" s="180">
        <f t="shared" si="8"/>
        <v>0.23129414145073632</v>
      </c>
      <c r="H96" s="180">
        <f t="shared" si="9"/>
        <v>3.7945132722013497</v>
      </c>
      <c r="I96" s="532">
        <f t="shared" si="10"/>
        <v>63.568633859461542</v>
      </c>
      <c r="J96" s="533"/>
      <c r="K96" s="533"/>
      <c r="N96" s="18"/>
      <c r="O96" s="18"/>
      <c r="P96" s="18"/>
      <c r="Q96" s="18"/>
      <c r="R96" s="18"/>
    </row>
    <row r="97" spans="1:18" x14ac:dyDescent="0.25">
      <c r="A97" s="21" t="s">
        <v>893</v>
      </c>
      <c r="B97" s="46">
        <v>23.612251430000004</v>
      </c>
      <c r="C97" s="180">
        <f t="shared" si="6"/>
        <v>0.18046635231534089</v>
      </c>
      <c r="D97" s="46">
        <v>26.179783260000008</v>
      </c>
      <c r="E97" s="180">
        <f t="shared" si="7"/>
        <v>0.23572422971222454</v>
      </c>
      <c r="F97" s="46">
        <v>25.060606780000004</v>
      </c>
      <c r="G97" s="180">
        <f t="shared" si="8"/>
        <v>0.22287371035544243</v>
      </c>
      <c r="H97" s="180">
        <f t="shared" si="9"/>
        <v>-4.274964650719582</v>
      </c>
      <c r="I97" s="532">
        <f t="shared" si="10"/>
        <v>6.1339146514415965</v>
      </c>
      <c r="J97" s="533"/>
      <c r="K97" s="533"/>
      <c r="N97" s="18"/>
      <c r="O97" s="18"/>
      <c r="P97" s="18"/>
      <c r="Q97" s="18"/>
      <c r="R97" s="18"/>
    </row>
    <row r="98" spans="1:18" x14ac:dyDescent="0.25">
      <c r="A98" s="21" t="s">
        <v>898</v>
      </c>
      <c r="B98" s="46">
        <v>14.455622889999999</v>
      </c>
      <c r="C98" s="180">
        <f t="shared" si="6"/>
        <v>0.11048304907044798</v>
      </c>
      <c r="D98" s="46">
        <v>12.952707230000003</v>
      </c>
      <c r="E98" s="180">
        <f t="shared" si="7"/>
        <v>0.11662689886148857</v>
      </c>
      <c r="F98" s="46">
        <v>24.619997599999994</v>
      </c>
      <c r="G98" s="180">
        <f t="shared" si="8"/>
        <v>0.21895520177241634</v>
      </c>
      <c r="H98" s="180">
        <f t="shared" si="9"/>
        <v>90.07607570236101</v>
      </c>
      <c r="I98" s="532">
        <f t="shared" si="10"/>
        <v>70.314332266037667</v>
      </c>
      <c r="J98" s="533"/>
      <c r="K98" s="533"/>
      <c r="N98" s="18"/>
      <c r="O98" s="18"/>
      <c r="P98" s="18"/>
      <c r="Q98" s="18"/>
      <c r="R98" s="18"/>
    </row>
    <row r="99" spans="1:18" x14ac:dyDescent="0.25">
      <c r="A99" s="21" t="s">
        <v>897</v>
      </c>
      <c r="B99" s="46">
        <v>23.114629479999994</v>
      </c>
      <c r="C99" s="180">
        <f t="shared" si="6"/>
        <v>0.17666307169998838</v>
      </c>
      <c r="D99" s="46">
        <v>19.710025049999999</v>
      </c>
      <c r="E99" s="180">
        <f t="shared" si="7"/>
        <v>0.17747016567622639</v>
      </c>
      <c r="F99" s="46">
        <v>24.616966180000006</v>
      </c>
      <c r="G99" s="180">
        <f t="shared" si="8"/>
        <v>0.21892824217686568</v>
      </c>
      <c r="H99" s="180">
        <f t="shared" si="9"/>
        <v>24.895661560815753</v>
      </c>
      <c r="I99" s="532">
        <f t="shared" si="10"/>
        <v>6.4995058705133557</v>
      </c>
      <c r="J99" s="533"/>
      <c r="K99" s="533"/>
      <c r="N99" s="18"/>
      <c r="O99" s="18"/>
      <c r="P99" s="18"/>
      <c r="Q99" s="18"/>
      <c r="R99" s="18"/>
    </row>
    <row r="100" spans="1:18" x14ac:dyDescent="0.25">
      <c r="A100" s="21" t="s">
        <v>896</v>
      </c>
      <c r="B100" s="46">
        <v>27.655894180000018</v>
      </c>
      <c r="C100" s="180">
        <f t="shared" si="6"/>
        <v>0.21137155673103333</v>
      </c>
      <c r="D100" s="46">
        <v>35.816059949999982</v>
      </c>
      <c r="E100" s="180">
        <f t="shared" si="7"/>
        <v>0.32248980288313511</v>
      </c>
      <c r="F100" s="46">
        <v>23.588727339999991</v>
      </c>
      <c r="G100" s="180">
        <f t="shared" si="8"/>
        <v>0.20978371477518801</v>
      </c>
      <c r="H100" s="180">
        <f t="shared" si="9"/>
        <v>-34.139245430875476</v>
      </c>
      <c r="I100" s="532">
        <f t="shared" si="10"/>
        <v>-14.706329195247248</v>
      </c>
      <c r="J100" s="533"/>
      <c r="K100" s="533"/>
      <c r="N100" s="18"/>
      <c r="O100" s="18"/>
      <c r="P100" s="18"/>
      <c r="Q100" s="18"/>
      <c r="R100" s="18"/>
    </row>
    <row r="101" spans="1:18" x14ac:dyDescent="0.25">
      <c r="A101" s="21" t="s">
        <v>895</v>
      </c>
      <c r="B101" s="46">
        <v>19.323797140000003</v>
      </c>
      <c r="C101" s="180">
        <f t="shared" si="6"/>
        <v>0.14769007492045905</v>
      </c>
      <c r="D101" s="46">
        <v>28.439904600000002</v>
      </c>
      <c r="E101" s="180">
        <f t="shared" si="7"/>
        <v>0.25607448840751595</v>
      </c>
      <c r="F101" s="46">
        <v>22.720881780000003</v>
      </c>
      <c r="G101" s="180">
        <f t="shared" si="8"/>
        <v>0.20206562711391654</v>
      </c>
      <c r="H101" s="180">
        <f t="shared" si="9"/>
        <v>-20.109149100310265</v>
      </c>
      <c r="I101" s="532">
        <f t="shared" si="10"/>
        <v>17.579798708236694</v>
      </c>
      <c r="J101" s="533"/>
      <c r="K101" s="533"/>
      <c r="N101" s="18"/>
      <c r="O101" s="18"/>
      <c r="P101" s="18"/>
      <c r="Q101" s="18"/>
      <c r="R101" s="18"/>
    </row>
    <row r="102" spans="1:18" x14ac:dyDescent="0.25">
      <c r="A102" s="21" t="s">
        <v>894</v>
      </c>
      <c r="B102" s="46">
        <v>21.778033189999984</v>
      </c>
      <c r="C102" s="180">
        <f t="shared" si="6"/>
        <v>0.16644758429974602</v>
      </c>
      <c r="D102" s="46">
        <v>17.173750309999988</v>
      </c>
      <c r="E102" s="180">
        <f t="shared" si="7"/>
        <v>0.15463340635367903</v>
      </c>
      <c r="F102" s="46">
        <v>22.127448709999996</v>
      </c>
      <c r="G102" s="180">
        <f t="shared" si="8"/>
        <v>0.19678799631592342</v>
      </c>
      <c r="H102" s="180">
        <f t="shared" si="9"/>
        <v>28.844593117879171</v>
      </c>
      <c r="I102" s="532">
        <f t="shared" si="10"/>
        <v>1.6044402033534189</v>
      </c>
      <c r="J102" s="533"/>
      <c r="K102" s="533"/>
      <c r="N102" s="18"/>
      <c r="O102" s="18"/>
      <c r="P102" s="18"/>
      <c r="Q102" s="18"/>
      <c r="R102" s="18"/>
    </row>
    <row r="103" spans="1:18" x14ac:dyDescent="0.25">
      <c r="A103" s="21" t="s">
        <v>892</v>
      </c>
      <c r="B103" s="46">
        <v>44.392279710000011</v>
      </c>
      <c r="C103" s="180">
        <f t="shared" si="6"/>
        <v>0.3392862732287964</v>
      </c>
      <c r="D103" s="46">
        <v>25.108415180000009</v>
      </c>
      <c r="E103" s="180">
        <f t="shared" si="7"/>
        <v>0.22607757172089846</v>
      </c>
      <c r="F103" s="46">
        <v>21.65697754000001</v>
      </c>
      <c r="G103" s="180">
        <f t="shared" si="8"/>
        <v>0.19260391345657127</v>
      </c>
      <c r="H103" s="180">
        <f t="shared" si="9"/>
        <v>-13.74613895483624</v>
      </c>
      <c r="I103" s="532">
        <f t="shared" si="10"/>
        <v>-51.214540723121594</v>
      </c>
      <c r="J103" s="533"/>
      <c r="K103" s="533"/>
      <c r="N103" s="18"/>
      <c r="O103" s="18"/>
      <c r="P103" s="18"/>
      <c r="Q103" s="18"/>
      <c r="R103" s="18"/>
    </row>
    <row r="104" spans="1:18" x14ac:dyDescent="0.25">
      <c r="A104" s="21" t="s">
        <v>879</v>
      </c>
      <c r="B104" s="46">
        <v>28.874155350000002</v>
      </c>
      <c r="C104" s="180">
        <f t="shared" si="6"/>
        <v>0.220682619260123</v>
      </c>
      <c r="D104" s="46">
        <v>26.455832860000005</v>
      </c>
      <c r="E104" s="180">
        <f t="shared" si="7"/>
        <v>0.23820979571848672</v>
      </c>
      <c r="F104" s="46">
        <v>21.24135128</v>
      </c>
      <c r="G104" s="180">
        <f t="shared" si="8"/>
        <v>0.18890758768519031</v>
      </c>
      <c r="H104" s="180">
        <f t="shared" si="9"/>
        <v>-19.710139565797068</v>
      </c>
      <c r="I104" s="532">
        <f t="shared" si="10"/>
        <v>-26.434726756431338</v>
      </c>
      <c r="J104" s="533"/>
      <c r="K104" s="533"/>
      <c r="N104" s="18"/>
      <c r="O104" s="18"/>
      <c r="P104" s="18"/>
      <c r="Q104" s="18"/>
      <c r="R104" s="18"/>
    </row>
    <row r="105" spans="1:18" x14ac:dyDescent="0.25">
      <c r="A105" s="21" t="s">
        <v>891</v>
      </c>
      <c r="B105" s="46">
        <v>23.267049889999999</v>
      </c>
      <c r="C105" s="180">
        <f t="shared" si="6"/>
        <v>0.17782800743229898</v>
      </c>
      <c r="D105" s="46">
        <v>19.701336290000004</v>
      </c>
      <c r="E105" s="180">
        <f t="shared" si="7"/>
        <v>0.17739193159621847</v>
      </c>
      <c r="F105" s="46">
        <v>20.981150230000001</v>
      </c>
      <c r="G105" s="180">
        <f t="shared" si="8"/>
        <v>0.18659351867796409</v>
      </c>
      <c r="H105" s="180">
        <f t="shared" si="9"/>
        <v>6.4960768201779429</v>
      </c>
      <c r="I105" s="532">
        <f t="shared" si="10"/>
        <v>-9.8246218184388727</v>
      </c>
      <c r="J105" s="533"/>
      <c r="K105" s="533"/>
      <c r="N105" s="18"/>
      <c r="O105" s="18"/>
      <c r="P105" s="18"/>
      <c r="Q105" s="18"/>
      <c r="R105" s="18"/>
    </row>
    <row r="106" spans="1:18" x14ac:dyDescent="0.25">
      <c r="A106" s="21" t="s">
        <v>890</v>
      </c>
      <c r="B106" s="46">
        <v>21.337112800000003</v>
      </c>
      <c r="C106" s="180">
        <f t="shared" si="6"/>
        <v>0.16307766869975979</v>
      </c>
      <c r="D106" s="46">
        <v>33.926940729999991</v>
      </c>
      <c r="E106" s="180">
        <f t="shared" si="7"/>
        <v>0.30548006798401367</v>
      </c>
      <c r="F106" s="46">
        <v>20.947780539999997</v>
      </c>
      <c r="G106" s="180">
        <f t="shared" si="8"/>
        <v>0.18629674906304608</v>
      </c>
      <c r="H106" s="180">
        <f t="shared" si="9"/>
        <v>-38.256205572119676</v>
      </c>
      <c r="I106" s="532">
        <f t="shared" si="10"/>
        <v>-1.8246717053490347</v>
      </c>
      <c r="J106" s="533"/>
      <c r="K106" s="533"/>
      <c r="N106" s="18"/>
      <c r="O106" s="18"/>
      <c r="P106" s="18"/>
      <c r="Q106" s="18"/>
      <c r="R106" s="18"/>
    </row>
    <row r="107" spans="1:18" x14ac:dyDescent="0.25">
      <c r="A107" s="21" t="s">
        <v>826</v>
      </c>
      <c r="B107" s="46">
        <v>29.206595509999996</v>
      </c>
      <c r="C107" s="180">
        <f t="shared" si="6"/>
        <v>0.2232234300428721</v>
      </c>
      <c r="D107" s="46">
        <v>22.761417720000004</v>
      </c>
      <c r="E107" s="180">
        <f t="shared" si="7"/>
        <v>0.20494507559208791</v>
      </c>
      <c r="F107" s="46">
        <v>20.69283755</v>
      </c>
      <c r="G107" s="180">
        <f t="shared" si="8"/>
        <v>0.1840294420257817</v>
      </c>
      <c r="H107" s="180">
        <f t="shared" si="9"/>
        <v>-9.0880989727734942</v>
      </c>
      <c r="I107" s="532">
        <f t="shared" si="10"/>
        <v>-29.150121098794223</v>
      </c>
      <c r="J107" s="533"/>
      <c r="K107" s="533"/>
      <c r="N107" s="18"/>
      <c r="O107" s="18"/>
      <c r="P107" s="18"/>
      <c r="Q107" s="18"/>
      <c r="R107" s="18"/>
    </row>
    <row r="108" spans="1:18" x14ac:dyDescent="0.25">
      <c r="A108" s="21" t="s">
        <v>888</v>
      </c>
      <c r="B108" s="46">
        <v>19.686749249999998</v>
      </c>
      <c r="C108" s="180">
        <f t="shared" si="6"/>
        <v>0.15046408584233306</v>
      </c>
      <c r="D108" s="46">
        <v>26.353956379999982</v>
      </c>
      <c r="E108" s="180">
        <f t="shared" si="7"/>
        <v>0.23729249420627402</v>
      </c>
      <c r="F108" s="46">
        <v>20.691837129999996</v>
      </c>
      <c r="G108" s="180">
        <f t="shared" si="8"/>
        <v>0.18402054490212974</v>
      </c>
      <c r="H108" s="180">
        <f t="shared" si="9"/>
        <v>-21.484892698300772</v>
      </c>
      <c r="I108" s="532">
        <f t="shared" si="10"/>
        <v>5.1054029653981425</v>
      </c>
      <c r="J108" s="533"/>
      <c r="K108" s="533"/>
      <c r="N108" s="18"/>
      <c r="O108" s="18"/>
      <c r="P108" s="18"/>
      <c r="Q108" s="18"/>
      <c r="R108" s="18"/>
    </row>
    <row r="109" spans="1:18" x14ac:dyDescent="0.25">
      <c r="A109" s="21" t="s">
        <v>887</v>
      </c>
      <c r="B109" s="46">
        <v>19.503307599999999</v>
      </c>
      <c r="C109" s="180">
        <f t="shared" si="6"/>
        <v>0.14906205751240659</v>
      </c>
      <c r="D109" s="46">
        <v>26.068783950000004</v>
      </c>
      <c r="E109" s="180">
        <f t="shared" si="7"/>
        <v>0.23472478572949623</v>
      </c>
      <c r="F109" s="46">
        <v>20.450104619999998</v>
      </c>
      <c r="G109" s="180">
        <f t="shared" si="8"/>
        <v>0.18187072379483596</v>
      </c>
      <c r="H109" s="180">
        <f t="shared" si="9"/>
        <v>-21.553285112096709</v>
      </c>
      <c r="I109" s="532">
        <f t="shared" si="10"/>
        <v>4.8545459027677929</v>
      </c>
      <c r="J109" s="533"/>
      <c r="K109" s="533"/>
      <c r="N109" s="18"/>
      <c r="O109" s="18"/>
      <c r="P109" s="18"/>
      <c r="Q109" s="18"/>
      <c r="R109" s="18"/>
    </row>
    <row r="110" spans="1:18" x14ac:dyDescent="0.25">
      <c r="A110" s="21" t="s">
        <v>880</v>
      </c>
      <c r="B110" s="46">
        <v>19.083075049999998</v>
      </c>
      <c r="C110" s="180">
        <f t="shared" si="6"/>
        <v>0.14585025724645143</v>
      </c>
      <c r="D110" s="46">
        <v>18.256701029999999</v>
      </c>
      <c r="E110" s="180">
        <f t="shared" si="7"/>
        <v>0.16438435508205673</v>
      </c>
      <c r="F110" s="46">
        <v>19.659166300000003</v>
      </c>
      <c r="G110" s="180">
        <f t="shared" si="8"/>
        <v>0.1748366020918698</v>
      </c>
      <c r="H110" s="180">
        <f t="shared" si="9"/>
        <v>7.681920559992883</v>
      </c>
      <c r="I110" s="532">
        <f t="shared" si="10"/>
        <v>3.0188596360417597</v>
      </c>
      <c r="J110" s="533"/>
      <c r="K110" s="533"/>
      <c r="N110" s="18"/>
      <c r="O110" s="18"/>
      <c r="P110" s="18"/>
      <c r="Q110" s="18"/>
      <c r="R110" s="18"/>
    </row>
    <row r="111" spans="1:18" x14ac:dyDescent="0.25">
      <c r="A111" s="21" t="s">
        <v>872</v>
      </c>
      <c r="B111" s="46">
        <v>16.761844220000008</v>
      </c>
      <c r="C111" s="180">
        <f t="shared" si="6"/>
        <v>0.12810929501699705</v>
      </c>
      <c r="D111" s="46">
        <v>8.7303582300000038</v>
      </c>
      <c r="E111" s="180">
        <f t="shared" si="7"/>
        <v>7.8608632792727354E-2</v>
      </c>
      <c r="F111" s="46">
        <v>19.272148189999996</v>
      </c>
      <c r="G111" s="180">
        <f t="shared" si="8"/>
        <v>0.17139469971066765</v>
      </c>
      <c r="H111" s="180">
        <f t="shared" si="9"/>
        <v>120.74865294502342</v>
      </c>
      <c r="I111" s="532">
        <f t="shared" si="10"/>
        <v>14.976299368089396</v>
      </c>
      <c r="J111" s="533"/>
      <c r="K111" s="533"/>
      <c r="N111" s="18"/>
      <c r="O111" s="18"/>
      <c r="P111" s="18"/>
      <c r="Q111" s="18"/>
      <c r="R111" s="18"/>
    </row>
    <row r="112" spans="1:18" x14ac:dyDescent="0.25">
      <c r="A112" s="21" t="s">
        <v>885</v>
      </c>
      <c r="B112" s="46">
        <v>16.924644229999998</v>
      </c>
      <c r="C112" s="180">
        <f t="shared" si="6"/>
        <v>0.12935356111541202</v>
      </c>
      <c r="D112" s="46">
        <v>20.26503465</v>
      </c>
      <c r="E112" s="180">
        <f t="shared" si="7"/>
        <v>0.18246750309279638</v>
      </c>
      <c r="F112" s="46">
        <v>19.054086610000009</v>
      </c>
      <c r="G112" s="180">
        <f t="shared" si="8"/>
        <v>0.16945539337833443</v>
      </c>
      <c r="H112" s="180">
        <f t="shared" si="9"/>
        <v>-5.9755537600326374</v>
      </c>
      <c r="I112" s="532">
        <f t="shared" si="10"/>
        <v>12.581903353840907</v>
      </c>
      <c r="J112" s="533"/>
      <c r="K112" s="533"/>
      <c r="N112" s="18"/>
      <c r="O112" s="18"/>
      <c r="P112" s="18"/>
      <c r="Q112" s="18"/>
      <c r="R112" s="18"/>
    </row>
    <row r="113" spans="1:18" x14ac:dyDescent="0.25">
      <c r="A113" s="21" t="s">
        <v>886</v>
      </c>
      <c r="B113" s="46">
        <v>21.294727429999995</v>
      </c>
      <c r="C113" s="180">
        <f t="shared" si="6"/>
        <v>0.16275372106020014</v>
      </c>
      <c r="D113" s="46">
        <v>21.453373310000003</v>
      </c>
      <c r="E113" s="180">
        <f t="shared" si="7"/>
        <v>0.19316737071522061</v>
      </c>
      <c r="F113" s="46">
        <v>18.931149010000002</v>
      </c>
      <c r="G113" s="180">
        <f t="shared" si="8"/>
        <v>0.16836206154903247</v>
      </c>
      <c r="H113" s="180">
        <f t="shared" si="9"/>
        <v>-11.756772529681026</v>
      </c>
      <c r="I113" s="532">
        <f t="shared" si="10"/>
        <v>-11.099359819324029</v>
      </c>
      <c r="J113" s="533"/>
      <c r="K113" s="533"/>
      <c r="N113" s="18"/>
      <c r="O113" s="18"/>
      <c r="P113" s="18"/>
      <c r="Q113" s="18"/>
      <c r="R113" s="18"/>
    </row>
    <row r="114" spans="1:18" x14ac:dyDescent="0.25">
      <c r="A114" s="21" t="s">
        <v>884</v>
      </c>
      <c r="B114" s="46">
        <v>26.818964220000009</v>
      </c>
      <c r="C114" s="180">
        <f t="shared" si="6"/>
        <v>0.20497497496192985</v>
      </c>
      <c r="D114" s="46">
        <v>35.00014457000001</v>
      </c>
      <c r="E114" s="180">
        <f t="shared" si="7"/>
        <v>0.31514325526084397</v>
      </c>
      <c r="F114" s="46">
        <v>18.452979879999997</v>
      </c>
      <c r="G114" s="180">
        <f t="shared" si="8"/>
        <v>0.1641095177412909</v>
      </c>
      <c r="H114" s="180">
        <f t="shared" si="9"/>
        <v>-47.277418117247528</v>
      </c>
      <c r="I114" s="532">
        <f t="shared" si="10"/>
        <v>-31.194285772457796</v>
      </c>
      <c r="J114" s="533"/>
      <c r="K114" s="533"/>
      <c r="N114" s="18"/>
      <c r="O114" s="18"/>
      <c r="P114" s="18"/>
      <c r="Q114" s="18"/>
      <c r="R114" s="18"/>
    </row>
    <row r="115" spans="1:18" x14ac:dyDescent="0.25">
      <c r="A115" s="21" t="s">
        <v>883</v>
      </c>
      <c r="B115" s="46">
        <v>26.314060029999986</v>
      </c>
      <c r="C115" s="180">
        <f t="shared" si="6"/>
        <v>0.20111603682940307</v>
      </c>
      <c r="D115" s="46">
        <v>24.567560269999998</v>
      </c>
      <c r="E115" s="180">
        <f t="shared" si="7"/>
        <v>0.2212076839231403</v>
      </c>
      <c r="F115" s="46">
        <v>17.393456239999995</v>
      </c>
      <c r="G115" s="180">
        <f t="shared" si="8"/>
        <v>0.15468676246129667</v>
      </c>
      <c r="H115" s="180">
        <f t="shared" si="9"/>
        <v>-29.201532228499151</v>
      </c>
      <c r="I115" s="532">
        <f t="shared" si="10"/>
        <v>-33.900522305679317</v>
      </c>
      <c r="J115" s="533"/>
      <c r="K115" s="533"/>
      <c r="N115" s="18"/>
      <c r="O115" s="18"/>
      <c r="P115" s="18"/>
      <c r="Q115" s="18"/>
      <c r="R115" s="18"/>
    </row>
    <row r="116" spans="1:18" x14ac:dyDescent="0.25">
      <c r="A116" s="21" t="s">
        <v>882</v>
      </c>
      <c r="B116" s="46">
        <v>1.3353285799999999</v>
      </c>
      <c r="C116" s="180">
        <f t="shared" si="6"/>
        <v>1.0205798404672662E-2</v>
      </c>
      <c r="D116" s="46">
        <v>5.0788683800000003</v>
      </c>
      <c r="E116" s="180">
        <f t="shared" si="7"/>
        <v>4.5730414373387498E-2</v>
      </c>
      <c r="F116" s="46">
        <v>17.328941109999999</v>
      </c>
      <c r="G116" s="180">
        <f t="shared" si="8"/>
        <v>0.15411300435067352</v>
      </c>
      <c r="H116" s="180">
        <f t="shared" si="9"/>
        <v>241.19689295826953</v>
      </c>
      <c r="I116" s="532">
        <f t="shared" si="10"/>
        <v>1197.7286167274276</v>
      </c>
      <c r="J116" s="533"/>
      <c r="K116" s="533"/>
      <c r="N116" s="18"/>
      <c r="O116" s="18"/>
      <c r="P116" s="18"/>
      <c r="Q116" s="18"/>
      <c r="R116" s="18"/>
    </row>
    <row r="117" spans="1:18" x14ac:dyDescent="0.25">
      <c r="A117" s="21" t="s">
        <v>861</v>
      </c>
      <c r="B117" s="46">
        <v>19.158233570000004</v>
      </c>
      <c r="C117" s="180">
        <f t="shared" si="6"/>
        <v>0.14642468717703344</v>
      </c>
      <c r="D117" s="46">
        <v>19.761720509999996</v>
      </c>
      <c r="E117" s="180">
        <f t="shared" si="7"/>
        <v>0.1779356344834773</v>
      </c>
      <c r="F117" s="46">
        <v>17.141235510000001</v>
      </c>
      <c r="G117" s="180">
        <f t="shared" si="8"/>
        <v>0.15244366553961644</v>
      </c>
      <c r="H117" s="180">
        <f t="shared" si="9"/>
        <v>-13.260409176791843</v>
      </c>
      <c r="I117" s="532">
        <f t="shared" si="10"/>
        <v>-10.528100373295546</v>
      </c>
      <c r="J117" s="533"/>
      <c r="K117" s="533"/>
      <c r="N117" s="18"/>
      <c r="O117" s="18"/>
      <c r="P117" s="18"/>
      <c r="Q117" s="18"/>
      <c r="R117" s="18"/>
    </row>
    <row r="118" spans="1:18" x14ac:dyDescent="0.25">
      <c r="A118" s="21" t="s">
        <v>881</v>
      </c>
      <c r="B118" s="46">
        <v>19.036695070000004</v>
      </c>
      <c r="C118" s="180">
        <f t="shared" si="6"/>
        <v>0.145495779155454</v>
      </c>
      <c r="D118" s="46">
        <v>19.456405950000004</v>
      </c>
      <c r="E118" s="180">
        <f t="shared" si="7"/>
        <v>0.17518656514393513</v>
      </c>
      <c r="F118" s="46">
        <v>17.063864529999993</v>
      </c>
      <c r="G118" s="180">
        <f t="shared" si="8"/>
        <v>0.15175557536136103</v>
      </c>
      <c r="H118" s="180">
        <f t="shared" si="9"/>
        <v>-12.296934110793522</v>
      </c>
      <c r="I118" s="532">
        <f t="shared" si="10"/>
        <v>-10.363303781174714</v>
      </c>
      <c r="J118" s="533"/>
      <c r="K118" s="533"/>
      <c r="N118" s="18"/>
      <c r="O118" s="18"/>
      <c r="P118" s="18"/>
      <c r="Q118" s="18"/>
      <c r="R118" s="18"/>
    </row>
    <row r="119" spans="1:18" x14ac:dyDescent="0.25">
      <c r="A119" s="21" t="s">
        <v>878</v>
      </c>
      <c r="B119" s="46">
        <v>7.3317352600000021</v>
      </c>
      <c r="C119" s="180">
        <f t="shared" si="6"/>
        <v>5.60358050750253E-2</v>
      </c>
      <c r="D119" s="46">
        <v>9.6579679000000009</v>
      </c>
      <c r="E119" s="180">
        <f t="shared" si="7"/>
        <v>8.6960882036457715E-2</v>
      </c>
      <c r="F119" s="46">
        <v>16.139470329999998</v>
      </c>
      <c r="G119" s="180">
        <f t="shared" si="8"/>
        <v>0.1435345786794503</v>
      </c>
      <c r="H119" s="180">
        <f t="shared" si="9"/>
        <v>67.110415949922512</v>
      </c>
      <c r="I119" s="532">
        <f t="shared" si="10"/>
        <v>120.13165720880097</v>
      </c>
      <c r="J119" s="533"/>
      <c r="K119" s="533"/>
      <c r="N119" s="18"/>
      <c r="O119" s="18"/>
      <c r="P119" s="18"/>
      <c r="Q119" s="18"/>
      <c r="R119" s="18"/>
    </row>
    <row r="120" spans="1:18" x14ac:dyDescent="0.25">
      <c r="A120" s="21" t="s">
        <v>841</v>
      </c>
      <c r="B120" s="46">
        <v>14.193492300000003</v>
      </c>
      <c r="C120" s="180">
        <f t="shared" si="6"/>
        <v>0.10847960812167576</v>
      </c>
      <c r="D120" s="46">
        <v>24.843347750000007</v>
      </c>
      <c r="E120" s="180">
        <f t="shared" si="7"/>
        <v>0.22369088978629217</v>
      </c>
      <c r="F120" s="46">
        <v>15.88616305</v>
      </c>
      <c r="G120" s="180">
        <f t="shared" si="8"/>
        <v>0.14128181864657274</v>
      </c>
      <c r="H120" s="180">
        <f t="shared" si="9"/>
        <v>-36.05466054791269</v>
      </c>
      <c r="I120" s="532">
        <f t="shared" si="10"/>
        <v>11.925681954961842</v>
      </c>
      <c r="J120" s="533"/>
      <c r="K120" s="533"/>
      <c r="N120" s="18"/>
      <c r="O120" s="18"/>
      <c r="P120" s="18"/>
      <c r="Q120" s="18"/>
      <c r="R120" s="18"/>
    </row>
    <row r="121" spans="1:18" x14ac:dyDescent="0.25">
      <c r="A121" s="21" t="s">
        <v>877</v>
      </c>
      <c r="B121" s="46">
        <v>12.367907279999999</v>
      </c>
      <c r="C121" s="180">
        <f t="shared" si="6"/>
        <v>9.4526823044080582E-2</v>
      </c>
      <c r="D121" s="46">
        <v>23.765532180000005</v>
      </c>
      <c r="E121" s="180">
        <f t="shared" si="7"/>
        <v>0.2139861782351358</v>
      </c>
      <c r="F121" s="46">
        <v>15.752727220000001</v>
      </c>
      <c r="G121" s="180">
        <f t="shared" si="8"/>
        <v>0.14009512198006618</v>
      </c>
      <c r="H121" s="180">
        <f t="shared" si="9"/>
        <v>-33.716076287756003</v>
      </c>
      <c r="I121" s="532">
        <f t="shared" si="10"/>
        <v>27.367766133511971</v>
      </c>
      <c r="J121" s="533"/>
      <c r="K121" s="533"/>
      <c r="N121" s="18"/>
      <c r="O121" s="18"/>
      <c r="P121" s="18"/>
      <c r="Q121" s="18"/>
      <c r="R121" s="18"/>
    </row>
    <row r="122" spans="1:18" x14ac:dyDescent="0.25">
      <c r="A122" s="21" t="s">
        <v>875</v>
      </c>
      <c r="B122" s="46">
        <v>5.5800556599999984</v>
      </c>
      <c r="C122" s="180">
        <f t="shared" si="6"/>
        <v>4.2647872595382219E-2</v>
      </c>
      <c r="D122" s="46">
        <v>6.42497659</v>
      </c>
      <c r="E122" s="180">
        <f t="shared" si="7"/>
        <v>5.7850847830007004E-2</v>
      </c>
      <c r="F122" s="46">
        <v>15.102620979999999</v>
      </c>
      <c r="G122" s="180">
        <f t="shared" si="8"/>
        <v>0.13431347466777288</v>
      </c>
      <c r="H122" s="180">
        <f t="shared" si="9"/>
        <v>135.06110517984004</v>
      </c>
      <c r="I122" s="532">
        <f t="shared" si="10"/>
        <v>170.65359021884748</v>
      </c>
      <c r="J122" s="533"/>
      <c r="K122" s="533"/>
      <c r="N122" s="18"/>
      <c r="O122" s="18"/>
      <c r="P122" s="18"/>
      <c r="Q122" s="18"/>
      <c r="R122" s="18"/>
    </row>
    <row r="123" spans="1:18" x14ac:dyDescent="0.25">
      <c r="A123" s="21" t="s">
        <v>876</v>
      </c>
      <c r="B123" s="46">
        <v>11.507153239999997</v>
      </c>
      <c r="C123" s="180">
        <f t="shared" si="6"/>
        <v>8.7948155935609382E-2</v>
      </c>
      <c r="D123" s="46">
        <v>14.920987580000002</v>
      </c>
      <c r="E123" s="180">
        <f t="shared" si="7"/>
        <v>0.13434940499355261</v>
      </c>
      <c r="F123" s="46">
        <v>14.779675249999999</v>
      </c>
      <c r="G123" s="180">
        <f t="shared" si="8"/>
        <v>0.13144139284946715</v>
      </c>
      <c r="H123" s="180">
        <f t="shared" si="9"/>
        <v>-0.94707089086661922</v>
      </c>
      <c r="I123" s="532">
        <f t="shared" si="10"/>
        <v>28.439023464329939</v>
      </c>
      <c r="J123" s="533"/>
      <c r="K123" s="533"/>
      <c r="N123" s="18"/>
      <c r="O123" s="18"/>
      <c r="P123" s="18"/>
      <c r="Q123" s="18"/>
      <c r="R123" s="18"/>
    </row>
    <row r="124" spans="1:18" x14ac:dyDescent="0.25">
      <c r="A124" s="21" t="s">
        <v>871</v>
      </c>
      <c r="B124" s="46">
        <v>17.846527980000001</v>
      </c>
      <c r="C124" s="180">
        <f t="shared" si="6"/>
        <v>0.13639943719861822</v>
      </c>
      <c r="D124" s="46">
        <v>21.961552439999998</v>
      </c>
      <c r="E124" s="180">
        <f t="shared" si="7"/>
        <v>0.19774304396604175</v>
      </c>
      <c r="F124" s="46">
        <v>14.700633849999999</v>
      </c>
      <c r="G124" s="180">
        <f t="shared" si="8"/>
        <v>0.13073844697731263</v>
      </c>
      <c r="H124" s="180">
        <f t="shared" si="9"/>
        <v>-33.061955022702392</v>
      </c>
      <c r="I124" s="532">
        <f t="shared" si="10"/>
        <v>-17.627485489197102</v>
      </c>
      <c r="J124" s="533"/>
      <c r="K124" s="533"/>
      <c r="N124" s="18"/>
      <c r="O124" s="18"/>
      <c r="P124" s="18"/>
      <c r="Q124" s="18"/>
      <c r="R124" s="18"/>
    </row>
    <row r="125" spans="1:18" x14ac:dyDescent="0.25">
      <c r="A125" s="21" t="s">
        <v>874</v>
      </c>
      <c r="B125" s="46">
        <v>16.899696370000008</v>
      </c>
      <c r="C125" s="180">
        <f t="shared" si="6"/>
        <v>0.12916288682475327</v>
      </c>
      <c r="D125" s="46">
        <v>15.807646359999998</v>
      </c>
      <c r="E125" s="180">
        <f t="shared" si="7"/>
        <v>0.14233293013802625</v>
      </c>
      <c r="F125" s="46">
        <v>14.524585019999998</v>
      </c>
      <c r="G125" s="180">
        <f t="shared" si="8"/>
        <v>0.12917277634969046</v>
      </c>
      <c r="H125" s="180">
        <f t="shared" si="9"/>
        <v>-8.1167133346725535</v>
      </c>
      <c r="I125" s="532">
        <f t="shared" si="10"/>
        <v>-14.054165814577935</v>
      </c>
      <c r="J125" s="533"/>
      <c r="K125" s="533"/>
      <c r="N125" s="18"/>
      <c r="O125" s="18"/>
      <c r="P125" s="18"/>
      <c r="Q125" s="18"/>
      <c r="R125" s="18"/>
    </row>
    <row r="126" spans="1:18" x14ac:dyDescent="0.25">
      <c r="A126" s="21" t="s">
        <v>850</v>
      </c>
      <c r="B126" s="46">
        <v>15.257115009999998</v>
      </c>
      <c r="C126" s="180">
        <f t="shared" si="6"/>
        <v>0.11660878255819651</v>
      </c>
      <c r="D126" s="46">
        <v>22.105068500000009</v>
      </c>
      <c r="E126" s="180">
        <f t="shared" si="7"/>
        <v>0.19903527058071066</v>
      </c>
      <c r="F126" s="46">
        <v>14.117866230000006</v>
      </c>
      <c r="G126" s="180">
        <f t="shared" si="8"/>
        <v>0.1255556681689374</v>
      </c>
      <c r="H126" s="180">
        <f t="shared" si="9"/>
        <v>-36.132899882214801</v>
      </c>
      <c r="I126" s="532">
        <f t="shared" si="10"/>
        <v>-7.4670000144410835</v>
      </c>
      <c r="J126" s="533"/>
      <c r="K126" s="533"/>
      <c r="N126" s="18"/>
      <c r="O126" s="18"/>
      <c r="P126" s="18"/>
      <c r="Q126" s="18"/>
      <c r="R126" s="18"/>
    </row>
    <row r="127" spans="1:18" x14ac:dyDescent="0.25">
      <c r="A127" s="21" t="s">
        <v>873</v>
      </c>
      <c r="B127" s="46">
        <v>11.539034690000001</v>
      </c>
      <c r="C127" s="180">
        <f t="shared" si="6"/>
        <v>8.8191823042284123E-2</v>
      </c>
      <c r="D127" s="46">
        <v>15.000492999999999</v>
      </c>
      <c r="E127" s="180">
        <f t="shared" si="7"/>
        <v>0.13506527623287187</v>
      </c>
      <c r="F127" s="46">
        <v>13.870468550000002</v>
      </c>
      <c r="G127" s="180">
        <f t="shared" si="8"/>
        <v>0.12335546450431849</v>
      </c>
      <c r="H127" s="180">
        <f t="shared" si="9"/>
        <v>-7.5332487405580402</v>
      </c>
      <c r="I127" s="532">
        <f t="shared" si="10"/>
        <v>20.204756486437091</v>
      </c>
      <c r="J127" s="533"/>
      <c r="K127" s="533"/>
      <c r="N127" s="18"/>
      <c r="O127" s="18"/>
      <c r="P127" s="18"/>
      <c r="Q127" s="18"/>
      <c r="R127" s="18"/>
    </row>
    <row r="128" spans="1:18" x14ac:dyDescent="0.25">
      <c r="A128" s="21" t="s">
        <v>864</v>
      </c>
      <c r="B128" s="46">
        <v>42.139218690000021</v>
      </c>
      <c r="C128" s="180">
        <f t="shared" si="6"/>
        <v>0.32206632683661623</v>
      </c>
      <c r="D128" s="46">
        <v>13.330168250000009</v>
      </c>
      <c r="E128" s="180">
        <f t="shared" si="7"/>
        <v>0.1200255789537657</v>
      </c>
      <c r="F128" s="46">
        <v>13.2053642</v>
      </c>
      <c r="G128" s="180">
        <f t="shared" si="8"/>
        <v>0.11744043317409762</v>
      </c>
      <c r="H128" s="180">
        <f t="shared" si="9"/>
        <v>-0.93625262381822338</v>
      </c>
      <c r="I128" s="532">
        <f t="shared" si="10"/>
        <v>-68.662531934571106</v>
      </c>
      <c r="J128" s="533"/>
      <c r="K128" s="533"/>
      <c r="N128" s="18"/>
      <c r="O128" s="18"/>
      <c r="P128" s="18"/>
      <c r="Q128" s="18"/>
      <c r="R128" s="18"/>
    </row>
    <row r="129" spans="1:18" x14ac:dyDescent="0.25">
      <c r="A129" s="21" t="s">
        <v>870</v>
      </c>
      <c r="B129" s="46">
        <v>12.072127540000009</v>
      </c>
      <c r="C129" s="180">
        <f t="shared" si="6"/>
        <v>9.2266204613651731E-2</v>
      </c>
      <c r="D129" s="46">
        <v>11.258419500000004</v>
      </c>
      <c r="E129" s="180">
        <f t="shared" si="7"/>
        <v>0.10137143757295522</v>
      </c>
      <c r="F129" s="46">
        <v>13.109832199999987</v>
      </c>
      <c r="G129" s="180">
        <f t="shared" si="8"/>
        <v>0.11659082999071937</v>
      </c>
      <c r="H129" s="180">
        <f t="shared" si="9"/>
        <v>16.44469456836266</v>
      </c>
      <c r="I129" s="532">
        <f t="shared" si="10"/>
        <v>8.5958722400971013</v>
      </c>
      <c r="J129" s="533"/>
      <c r="K129" s="533"/>
      <c r="N129" s="18"/>
      <c r="O129" s="18"/>
      <c r="P129" s="18"/>
      <c r="Q129" s="18"/>
      <c r="R129" s="18"/>
    </row>
    <row r="130" spans="1:18" x14ac:dyDescent="0.25">
      <c r="A130" s="21" t="s">
        <v>755</v>
      </c>
      <c r="B130" s="46">
        <v>10.994686079999997</v>
      </c>
      <c r="C130" s="180">
        <f t="shared" si="6"/>
        <v>8.4031414691311937E-2</v>
      </c>
      <c r="D130" s="46">
        <v>20.889708890000005</v>
      </c>
      <c r="E130" s="180">
        <f t="shared" si="7"/>
        <v>0.18809210481629707</v>
      </c>
      <c r="F130" s="46">
        <v>12.2531245</v>
      </c>
      <c r="G130" s="180">
        <f t="shared" si="8"/>
        <v>0.10897179564469328</v>
      </c>
      <c r="H130" s="180">
        <f t="shared" si="9"/>
        <v>-41.343727839761215</v>
      </c>
      <c r="I130" s="532">
        <f t="shared" si="10"/>
        <v>11.445878589377623</v>
      </c>
      <c r="J130" s="533"/>
      <c r="K130" s="533"/>
      <c r="N130" s="18"/>
      <c r="O130" s="18"/>
      <c r="P130" s="18"/>
      <c r="Q130" s="18"/>
      <c r="R130" s="18"/>
    </row>
    <row r="131" spans="1:18" x14ac:dyDescent="0.25">
      <c r="A131" s="21" t="s">
        <v>862</v>
      </c>
      <c r="B131" s="46">
        <v>16.544903050000002</v>
      </c>
      <c r="C131" s="180">
        <f t="shared" si="6"/>
        <v>0.12645123281428897</v>
      </c>
      <c r="D131" s="46">
        <v>8.2190701399999995</v>
      </c>
      <c r="E131" s="180">
        <f t="shared" si="7"/>
        <v>7.4004966292537791E-2</v>
      </c>
      <c r="F131" s="46">
        <v>11.707517249999995</v>
      </c>
      <c r="G131" s="180">
        <f t="shared" si="8"/>
        <v>0.1041194984408851</v>
      </c>
      <c r="H131" s="180">
        <f t="shared" si="9"/>
        <v>42.443330578512331</v>
      </c>
      <c r="I131" s="532">
        <f t="shared" si="10"/>
        <v>-29.237921705440318</v>
      </c>
      <c r="J131" s="533"/>
      <c r="K131" s="533"/>
      <c r="N131" s="18"/>
      <c r="O131" s="18"/>
      <c r="P131" s="18"/>
      <c r="Q131" s="18"/>
      <c r="R131" s="18"/>
    </row>
    <row r="132" spans="1:18" x14ac:dyDescent="0.25">
      <c r="A132" s="21" t="s">
        <v>869</v>
      </c>
      <c r="B132" s="46">
        <v>10.83259543000001</v>
      </c>
      <c r="C132" s="180">
        <f t="shared" ref="C132:C195" si="11">(B132/$B$259)*100</f>
        <v>8.2792570168728416E-2</v>
      </c>
      <c r="D132" s="46">
        <v>9.5625648099999978</v>
      </c>
      <c r="E132" s="180">
        <f t="shared" ref="E132:E195" si="12">(D132/$D$259)*100</f>
        <v>8.6101867289121087E-2</v>
      </c>
      <c r="F132" s="46">
        <v>11.252454769999998</v>
      </c>
      <c r="G132" s="180">
        <f t="shared" ref="G132:G195" si="13">(F132/$F$259)*100</f>
        <v>0.10007245104688145</v>
      </c>
      <c r="H132" s="180">
        <f t="shared" si="9"/>
        <v>17.67193209747251</v>
      </c>
      <c r="I132" s="532">
        <f t="shared" si="10"/>
        <v>3.8758886798007985</v>
      </c>
      <c r="J132" s="533"/>
      <c r="K132" s="533"/>
      <c r="N132" s="18"/>
      <c r="O132" s="18"/>
      <c r="P132" s="18"/>
      <c r="Q132" s="18"/>
      <c r="R132" s="18"/>
    </row>
    <row r="133" spans="1:18" x14ac:dyDescent="0.25">
      <c r="A133" s="21" t="s">
        <v>858</v>
      </c>
      <c r="B133" s="46">
        <v>14.061910580000003</v>
      </c>
      <c r="C133" s="180">
        <f t="shared" si="11"/>
        <v>0.10747394065662376</v>
      </c>
      <c r="D133" s="46">
        <v>11.967961539999997</v>
      </c>
      <c r="E133" s="180">
        <f t="shared" si="12"/>
        <v>0.10776019370459934</v>
      </c>
      <c r="F133" s="46">
        <v>11.140828159999995</v>
      </c>
      <c r="G133" s="180">
        <f t="shared" si="13"/>
        <v>9.9079712245163543E-2</v>
      </c>
      <c r="H133" s="180">
        <f t="shared" ref="H133:H195" si="14">((F133/D133)-1)*100</f>
        <v>-6.9112302645317758</v>
      </c>
      <c r="I133" s="532">
        <f t="shared" ref="I133:I195" si="15">((F133/B133)-1)*100</f>
        <v>-20.773012339835319</v>
      </c>
      <c r="J133" s="533"/>
      <c r="K133" s="533"/>
      <c r="N133" s="18"/>
      <c r="O133" s="18"/>
      <c r="P133" s="18"/>
      <c r="Q133" s="18"/>
      <c r="R133" s="18"/>
    </row>
    <row r="134" spans="1:18" x14ac:dyDescent="0.25">
      <c r="A134" s="21" t="s">
        <v>865</v>
      </c>
      <c r="B134" s="46">
        <v>48.838893339999998</v>
      </c>
      <c r="C134" s="180">
        <f t="shared" si="11"/>
        <v>0.37327134849113341</v>
      </c>
      <c r="D134" s="46">
        <v>28.937821049999997</v>
      </c>
      <c r="E134" s="180">
        <f t="shared" si="12"/>
        <v>0.2605577559147999</v>
      </c>
      <c r="F134" s="46">
        <v>10.93042047</v>
      </c>
      <c r="G134" s="180">
        <f t="shared" si="13"/>
        <v>9.7208474929591393E-2</v>
      </c>
      <c r="H134" s="180">
        <f t="shared" si="14"/>
        <v>-62.227907722858767</v>
      </c>
      <c r="I134" s="532">
        <f t="shared" si="15"/>
        <v>-77.61943458893289</v>
      </c>
      <c r="J134" s="533"/>
      <c r="K134" s="533"/>
      <c r="N134" s="18"/>
      <c r="O134" s="18"/>
      <c r="P134" s="18"/>
      <c r="Q134" s="18"/>
      <c r="R134" s="18"/>
    </row>
    <row r="135" spans="1:18" x14ac:dyDescent="0.25">
      <c r="A135" s="21" t="s">
        <v>867</v>
      </c>
      <c r="B135" s="46">
        <v>9.2634941599999987</v>
      </c>
      <c r="C135" s="180">
        <f t="shared" si="11"/>
        <v>7.0800067740497644E-2</v>
      </c>
      <c r="D135" s="46">
        <v>11.738753639999999</v>
      </c>
      <c r="E135" s="180">
        <f t="shared" si="12"/>
        <v>0.10569639297963275</v>
      </c>
      <c r="F135" s="46">
        <v>10.919620570000005</v>
      </c>
      <c r="G135" s="180">
        <f t="shared" si="13"/>
        <v>9.711242722389947E-2</v>
      </c>
      <c r="H135" s="180">
        <f t="shared" si="14"/>
        <v>-6.9780242018946943</v>
      </c>
      <c r="I135" s="532">
        <f t="shared" si="15"/>
        <v>17.877988385324418</v>
      </c>
      <c r="J135" s="533"/>
      <c r="K135" s="533"/>
      <c r="N135" s="18"/>
      <c r="O135" s="18"/>
      <c r="P135" s="18"/>
      <c r="Q135" s="18"/>
      <c r="R135" s="18"/>
    </row>
    <row r="136" spans="1:18" x14ac:dyDescent="0.25">
      <c r="A136" s="21" t="s">
        <v>868</v>
      </c>
      <c r="B136" s="46">
        <v>14.285964509999999</v>
      </c>
      <c r="C136" s="180">
        <f t="shared" si="11"/>
        <v>0.10918636505583387</v>
      </c>
      <c r="D136" s="46">
        <v>14.576469660000004</v>
      </c>
      <c r="E136" s="180">
        <f t="shared" si="12"/>
        <v>0.13124734641241304</v>
      </c>
      <c r="F136" s="46">
        <v>10.917698009999997</v>
      </c>
      <c r="G136" s="180">
        <f t="shared" si="13"/>
        <v>9.709532915104177E-2</v>
      </c>
      <c r="H136" s="180">
        <f t="shared" si="14"/>
        <v>-25.100533499138134</v>
      </c>
      <c r="I136" s="532">
        <f t="shared" si="15"/>
        <v>-23.577452524414831</v>
      </c>
      <c r="J136" s="533"/>
      <c r="K136" s="533"/>
      <c r="N136" s="18"/>
      <c r="O136" s="18"/>
      <c r="P136" s="18"/>
      <c r="Q136" s="18"/>
      <c r="R136" s="18"/>
    </row>
    <row r="137" spans="1:18" x14ac:dyDescent="0.25">
      <c r="A137" s="21" t="s">
        <v>866</v>
      </c>
      <c r="B137" s="46">
        <v>12.469418660000009</v>
      </c>
      <c r="C137" s="180">
        <f t="shared" si="11"/>
        <v>9.530266555623608E-2</v>
      </c>
      <c r="D137" s="46">
        <v>14.285639461100011</v>
      </c>
      <c r="E137" s="180">
        <f t="shared" si="12"/>
        <v>0.12862869506866795</v>
      </c>
      <c r="F137" s="46">
        <v>10.867983790000006</v>
      </c>
      <c r="G137" s="180">
        <f t="shared" si="13"/>
        <v>9.6653201282148049E-2</v>
      </c>
      <c r="H137" s="180">
        <f t="shared" si="14"/>
        <v>-23.92371500349234</v>
      </c>
      <c r="I137" s="532">
        <f t="shared" si="15"/>
        <v>-12.842899205374847</v>
      </c>
      <c r="J137" s="533"/>
      <c r="K137" s="533"/>
      <c r="N137" s="18"/>
      <c r="O137" s="18"/>
      <c r="P137" s="18"/>
      <c r="Q137" s="18"/>
      <c r="R137" s="18"/>
    </row>
    <row r="138" spans="1:18" x14ac:dyDescent="0.25">
      <c r="A138" s="21" t="s">
        <v>863</v>
      </c>
      <c r="B138" s="46">
        <v>6.4830616499999998</v>
      </c>
      <c r="C138" s="180">
        <f t="shared" si="11"/>
        <v>4.9549467626136275E-2</v>
      </c>
      <c r="D138" s="46">
        <v>7.2603300000000009E-2</v>
      </c>
      <c r="E138" s="180">
        <f t="shared" si="12"/>
        <v>6.5372416559362882E-4</v>
      </c>
      <c r="F138" s="46">
        <v>10.50592305</v>
      </c>
      <c r="G138" s="180">
        <f t="shared" si="13"/>
        <v>9.3433254486516695E-2</v>
      </c>
      <c r="H138" s="180">
        <f t="shared" si="14"/>
        <v>14370.310647036704</v>
      </c>
      <c r="I138" s="532">
        <f t="shared" si="15"/>
        <v>62.051876369246003</v>
      </c>
      <c r="J138" s="533"/>
      <c r="K138" s="533"/>
      <c r="N138" s="18"/>
      <c r="O138" s="18"/>
      <c r="P138" s="18"/>
      <c r="Q138" s="18"/>
      <c r="R138" s="18"/>
    </row>
    <row r="139" spans="1:18" x14ac:dyDescent="0.25">
      <c r="A139" s="21" t="s">
        <v>860</v>
      </c>
      <c r="B139" s="46">
        <v>11.762740920000001</v>
      </c>
      <c r="C139" s="180">
        <f t="shared" si="11"/>
        <v>8.9901590001102094E-2</v>
      </c>
      <c r="D139" s="46">
        <v>9.0081898800000015</v>
      </c>
      <c r="E139" s="180">
        <f t="shared" si="12"/>
        <v>8.111024447665563E-2</v>
      </c>
      <c r="F139" s="46">
        <v>9.4800253399999992</v>
      </c>
      <c r="G139" s="180">
        <f t="shared" si="13"/>
        <v>8.4309547663291406E-2</v>
      </c>
      <c r="H139" s="180">
        <f t="shared" si="14"/>
        <v>5.2378498486978842</v>
      </c>
      <c r="I139" s="532">
        <f t="shared" si="15"/>
        <v>-19.406323709117292</v>
      </c>
      <c r="J139" s="533"/>
      <c r="K139" s="533"/>
      <c r="N139" s="18"/>
      <c r="O139" s="18"/>
      <c r="P139" s="18"/>
      <c r="Q139" s="18"/>
      <c r="R139" s="18"/>
    </row>
    <row r="140" spans="1:18" x14ac:dyDescent="0.25">
      <c r="A140" s="21" t="s">
        <v>857</v>
      </c>
      <c r="B140" s="46">
        <v>12.619368429999998</v>
      </c>
      <c r="C140" s="180">
        <f t="shared" si="11"/>
        <v>9.6448718405226189E-2</v>
      </c>
      <c r="D140" s="46">
        <v>15.42955633</v>
      </c>
      <c r="E140" s="180">
        <f t="shared" si="12"/>
        <v>0.13892858640460065</v>
      </c>
      <c r="F140" s="46">
        <v>9.4367052299999994</v>
      </c>
      <c r="G140" s="180">
        <f t="shared" si="13"/>
        <v>8.3924285098283966E-2</v>
      </c>
      <c r="H140" s="180">
        <f t="shared" si="14"/>
        <v>-38.840074023048729</v>
      </c>
      <c r="I140" s="532">
        <f t="shared" si="15"/>
        <v>-25.220463430117945</v>
      </c>
      <c r="J140" s="533"/>
      <c r="K140" s="533"/>
      <c r="N140" s="18"/>
      <c r="O140" s="18"/>
      <c r="P140" s="18"/>
      <c r="Q140" s="18"/>
      <c r="R140" s="18"/>
    </row>
    <row r="141" spans="1:18" x14ac:dyDescent="0.25">
      <c r="A141" s="21" t="s">
        <v>859</v>
      </c>
      <c r="B141" s="46">
        <v>13.677981630000001</v>
      </c>
      <c r="C141" s="180">
        <f t="shared" si="11"/>
        <v>0.10453960559924211</v>
      </c>
      <c r="D141" s="46">
        <v>13.624079549999994</v>
      </c>
      <c r="E141" s="180">
        <f t="shared" si="12"/>
        <v>0.12267197270378848</v>
      </c>
      <c r="F141" s="46">
        <v>9.2149236900000009</v>
      </c>
      <c r="G141" s="180">
        <f t="shared" si="13"/>
        <v>8.1951895716731102E-2</v>
      </c>
      <c r="H141" s="180">
        <f t="shared" si="14"/>
        <v>-32.362963265287128</v>
      </c>
      <c r="I141" s="532">
        <f t="shared" si="15"/>
        <v>-32.629506755668892</v>
      </c>
      <c r="J141" s="533"/>
      <c r="K141" s="533"/>
      <c r="N141" s="18"/>
      <c r="O141" s="18"/>
      <c r="P141" s="18"/>
      <c r="Q141" s="18"/>
      <c r="R141" s="18"/>
    </row>
    <row r="142" spans="1:18" x14ac:dyDescent="0.25">
      <c r="A142" s="21" t="s">
        <v>856</v>
      </c>
      <c r="B142" s="46">
        <v>3.4566409300000003</v>
      </c>
      <c r="C142" s="180">
        <f t="shared" si="11"/>
        <v>2.6418801347695437E-2</v>
      </c>
      <c r="D142" s="46">
        <v>8.12045846</v>
      </c>
      <c r="E142" s="180">
        <f t="shared" si="12"/>
        <v>7.3117061221751947E-2</v>
      </c>
      <c r="F142" s="46">
        <v>8.5722899899999998</v>
      </c>
      <c r="G142" s="180">
        <f t="shared" si="13"/>
        <v>7.62367046052074E-2</v>
      </c>
      <c r="H142" s="180">
        <f t="shared" si="14"/>
        <v>5.5641135562190858</v>
      </c>
      <c r="I142" s="532">
        <f t="shared" si="15"/>
        <v>147.99480662285623</v>
      </c>
      <c r="J142" s="533"/>
      <c r="K142" s="533"/>
      <c r="N142" s="18"/>
      <c r="O142" s="18"/>
      <c r="P142" s="18"/>
      <c r="Q142" s="18"/>
      <c r="R142" s="18"/>
    </row>
    <row r="143" spans="1:18" x14ac:dyDescent="0.25">
      <c r="A143" s="21" t="s">
        <v>855</v>
      </c>
      <c r="B143" s="46">
        <v>4.0313967500000016</v>
      </c>
      <c r="C143" s="180">
        <f t="shared" si="11"/>
        <v>3.0811609319222822E-2</v>
      </c>
      <c r="D143" s="46">
        <v>7.6523596299999994</v>
      </c>
      <c r="E143" s="180">
        <f t="shared" si="12"/>
        <v>6.890227322923502E-2</v>
      </c>
      <c r="F143" s="46">
        <v>8.5295285400000012</v>
      </c>
      <c r="G143" s="180">
        <f t="shared" si="13"/>
        <v>7.5856410420579584E-2</v>
      </c>
      <c r="H143" s="180">
        <f t="shared" si="14"/>
        <v>11.462724602764162</v>
      </c>
      <c r="I143" s="532">
        <f t="shared" si="15"/>
        <v>111.57750201589556</v>
      </c>
      <c r="J143" s="533"/>
      <c r="K143" s="533"/>
      <c r="N143" s="18"/>
      <c r="O143" s="18"/>
      <c r="P143" s="18"/>
      <c r="Q143" s="18"/>
      <c r="R143" s="18"/>
    </row>
    <row r="144" spans="1:18" x14ac:dyDescent="0.25">
      <c r="A144" s="21" t="s">
        <v>854</v>
      </c>
      <c r="B144" s="46">
        <v>3.3943691100000009</v>
      </c>
      <c r="C144" s="180">
        <f t="shared" si="11"/>
        <v>2.5942863327098244E-2</v>
      </c>
      <c r="D144" s="46">
        <v>1.9647366700000002</v>
      </c>
      <c r="E144" s="180">
        <f t="shared" si="12"/>
        <v>1.7690598639551573E-2</v>
      </c>
      <c r="F144" s="46">
        <v>8.4654479599999988</v>
      </c>
      <c r="G144" s="180">
        <f t="shared" si="13"/>
        <v>7.5286516931898098E-2</v>
      </c>
      <c r="H144" s="180">
        <f t="shared" si="14"/>
        <v>330.86934189506411</v>
      </c>
      <c r="I144" s="532">
        <f t="shared" si="15"/>
        <v>149.39680057364168</v>
      </c>
      <c r="J144" s="533"/>
      <c r="K144" s="533"/>
      <c r="N144" s="18"/>
      <c r="O144" s="18"/>
      <c r="P144" s="18"/>
      <c r="Q144" s="18"/>
      <c r="R144" s="18"/>
    </row>
    <row r="145" spans="1:18" x14ac:dyDescent="0.25">
      <c r="A145" s="21" t="s">
        <v>853</v>
      </c>
      <c r="B145" s="46">
        <v>3.90510834</v>
      </c>
      <c r="C145" s="180">
        <f t="shared" si="11"/>
        <v>2.9846398155011337E-2</v>
      </c>
      <c r="D145" s="46">
        <v>14.230458899999999</v>
      </c>
      <c r="E145" s="180">
        <f t="shared" si="12"/>
        <v>0.12813184621658968</v>
      </c>
      <c r="F145" s="46">
        <v>8.0859177099999986</v>
      </c>
      <c r="G145" s="180">
        <f t="shared" si="13"/>
        <v>7.1911206998176352E-2</v>
      </c>
      <c r="H145" s="180">
        <f t="shared" si="14"/>
        <v>-43.178798612039138</v>
      </c>
      <c r="I145" s="532">
        <f t="shared" si="15"/>
        <v>107.0600097614705</v>
      </c>
      <c r="J145" s="533"/>
      <c r="K145" s="533"/>
      <c r="N145" s="18"/>
      <c r="O145" s="18"/>
      <c r="P145" s="18"/>
      <c r="Q145" s="18"/>
      <c r="R145" s="18"/>
    </row>
    <row r="146" spans="1:18" x14ac:dyDescent="0.25">
      <c r="A146" s="21" t="s">
        <v>852</v>
      </c>
      <c r="B146" s="46">
        <v>19.497484959999998</v>
      </c>
      <c r="C146" s="180">
        <f t="shared" si="11"/>
        <v>0.14901755558912491</v>
      </c>
      <c r="D146" s="46">
        <v>10.02472831</v>
      </c>
      <c r="E146" s="180">
        <f t="shared" si="12"/>
        <v>9.0263213239034287E-2</v>
      </c>
      <c r="F146" s="46">
        <v>8.0481927400000011</v>
      </c>
      <c r="G146" s="180">
        <f t="shared" si="13"/>
        <v>7.1575704186502317E-2</v>
      </c>
      <c r="H146" s="180">
        <f t="shared" si="14"/>
        <v>-19.716599880600651</v>
      </c>
      <c r="I146" s="532">
        <f t="shared" si="15"/>
        <v>-58.721892815861921</v>
      </c>
      <c r="J146" s="533"/>
      <c r="K146" s="533"/>
      <c r="N146" s="18"/>
      <c r="O146" s="18"/>
      <c r="P146" s="18"/>
      <c r="Q146" s="18"/>
      <c r="R146" s="18"/>
    </row>
    <row r="147" spans="1:18" x14ac:dyDescent="0.25">
      <c r="A147" s="21" t="s">
        <v>851</v>
      </c>
      <c r="B147" s="46">
        <v>4.3119293400000007</v>
      </c>
      <c r="C147" s="180">
        <f t="shared" si="11"/>
        <v>3.29556951287849E-2</v>
      </c>
      <c r="D147" s="46">
        <v>4.1292227800000019</v>
      </c>
      <c r="E147" s="180">
        <f t="shared" si="12"/>
        <v>3.7179752385989411E-2</v>
      </c>
      <c r="F147" s="46">
        <v>7.6083528500000011</v>
      </c>
      <c r="G147" s="180">
        <f t="shared" si="13"/>
        <v>6.7664037198260724E-2</v>
      </c>
      <c r="H147" s="180">
        <f t="shared" si="14"/>
        <v>84.256293626278932</v>
      </c>
      <c r="I147" s="532">
        <f t="shared" si="15"/>
        <v>76.448922282200485</v>
      </c>
      <c r="J147" s="533"/>
      <c r="K147" s="533"/>
      <c r="N147" s="18"/>
      <c r="O147" s="18"/>
      <c r="P147" s="18"/>
      <c r="Q147" s="18"/>
      <c r="R147" s="18"/>
    </row>
    <row r="148" spans="1:18" x14ac:dyDescent="0.25">
      <c r="A148" s="21" t="s">
        <v>746</v>
      </c>
      <c r="B148" s="46">
        <v>10.844875059999996</v>
      </c>
      <c r="C148" s="180">
        <f t="shared" si="11"/>
        <v>8.2886422296317749E-2</v>
      </c>
      <c r="D148" s="46">
        <v>13.477035780000001</v>
      </c>
      <c r="E148" s="180">
        <f t="shared" si="12"/>
        <v>0.12134798239137863</v>
      </c>
      <c r="F148" s="46">
        <v>7.4002456199999997</v>
      </c>
      <c r="G148" s="180">
        <f t="shared" si="13"/>
        <v>6.5813258767033367E-2</v>
      </c>
      <c r="H148" s="180">
        <f t="shared" si="14"/>
        <v>-45.08996087268681</v>
      </c>
      <c r="I148" s="532">
        <f t="shared" si="15"/>
        <v>-31.762739735979928</v>
      </c>
      <c r="J148" s="533"/>
      <c r="K148" s="533"/>
      <c r="N148" s="18"/>
      <c r="O148" s="18"/>
      <c r="P148" s="18"/>
      <c r="Q148" s="18"/>
      <c r="R148" s="18"/>
    </row>
    <row r="149" spans="1:18" x14ac:dyDescent="0.25">
      <c r="A149" s="21" t="s">
        <v>849</v>
      </c>
      <c r="B149" s="46">
        <v>6.5428941200000015</v>
      </c>
      <c r="C149" s="180">
        <f t="shared" si="11"/>
        <v>5.000676191011965E-2</v>
      </c>
      <c r="D149" s="46">
        <v>3.86490512</v>
      </c>
      <c r="E149" s="180">
        <f t="shared" si="12"/>
        <v>3.4799821422311979E-2</v>
      </c>
      <c r="F149" s="46">
        <v>6.9811286100000007</v>
      </c>
      <c r="G149" s="180">
        <f t="shared" si="13"/>
        <v>6.2085888399994765E-2</v>
      </c>
      <c r="H149" s="180">
        <f t="shared" si="14"/>
        <v>80.628719030494622</v>
      </c>
      <c r="I149" s="532">
        <f t="shared" si="15"/>
        <v>6.6978691992038319</v>
      </c>
      <c r="J149" s="533"/>
      <c r="K149" s="533"/>
      <c r="N149" s="18"/>
      <c r="O149" s="18"/>
      <c r="P149" s="18"/>
      <c r="Q149" s="18"/>
      <c r="R149" s="18"/>
    </row>
    <row r="150" spans="1:18" x14ac:dyDescent="0.25">
      <c r="A150" s="21" t="s">
        <v>848</v>
      </c>
      <c r="B150" s="46">
        <v>168.66538595999998</v>
      </c>
      <c r="C150" s="180">
        <f t="shared" si="11"/>
        <v>1.2890946488646762</v>
      </c>
      <c r="D150" s="46">
        <v>85.252211469999992</v>
      </c>
      <c r="E150" s="180">
        <f t="shared" si="12"/>
        <v>0.76761567047554757</v>
      </c>
      <c r="F150" s="46">
        <v>6.8777660199999993</v>
      </c>
      <c r="G150" s="180">
        <f t="shared" si="13"/>
        <v>6.1166644738120085E-2</v>
      </c>
      <c r="H150" s="180">
        <f t="shared" si="14"/>
        <v>-91.932448553055707</v>
      </c>
      <c r="I150" s="532">
        <f t="shared" si="15"/>
        <v>-95.922242147756918</v>
      </c>
      <c r="J150" s="533"/>
      <c r="K150" s="533"/>
      <c r="N150" s="18"/>
      <c r="O150" s="18"/>
      <c r="P150" s="18"/>
      <c r="Q150" s="18"/>
      <c r="R150" s="18"/>
    </row>
    <row r="151" spans="1:18" x14ac:dyDescent="0.25">
      <c r="A151" s="21" t="s">
        <v>847</v>
      </c>
      <c r="B151" s="46">
        <v>3.9850386100000001</v>
      </c>
      <c r="C151" s="180">
        <f t="shared" si="11"/>
        <v>3.0457298149416504E-2</v>
      </c>
      <c r="D151" s="46">
        <v>11.908125019999996</v>
      </c>
      <c r="E151" s="180">
        <f t="shared" si="12"/>
        <v>0.10722142233871065</v>
      </c>
      <c r="F151" s="46">
        <v>6.710562669999999</v>
      </c>
      <c r="G151" s="180">
        <f t="shared" si="13"/>
        <v>5.9679640399976933E-2</v>
      </c>
      <c r="H151" s="180">
        <f t="shared" si="14"/>
        <v>-43.647193334555688</v>
      </c>
      <c r="I151" s="532">
        <f t="shared" si="15"/>
        <v>68.393918522159524</v>
      </c>
      <c r="J151" s="533"/>
      <c r="K151" s="533"/>
      <c r="N151" s="18"/>
      <c r="O151" s="18"/>
      <c r="P151" s="18"/>
      <c r="Q151" s="18"/>
      <c r="R151" s="18"/>
    </row>
    <row r="152" spans="1:18" x14ac:dyDescent="0.25">
      <c r="A152" s="21" t="s">
        <v>738</v>
      </c>
      <c r="B152" s="46">
        <v>7.8598598599999994</v>
      </c>
      <c r="C152" s="180">
        <f t="shared" si="11"/>
        <v>6.0072214750423965E-2</v>
      </c>
      <c r="D152" s="46">
        <v>2.5093960199999996</v>
      </c>
      <c r="E152" s="180">
        <f t="shared" si="12"/>
        <v>2.2594741827416557E-2</v>
      </c>
      <c r="F152" s="46">
        <v>6.7090803299999999</v>
      </c>
      <c r="G152" s="180">
        <f t="shared" si="13"/>
        <v>5.966645737457342E-2</v>
      </c>
      <c r="H152" s="180">
        <f t="shared" si="14"/>
        <v>167.35837135822032</v>
      </c>
      <c r="I152" s="532">
        <f t="shared" si="15"/>
        <v>-14.6412219873854</v>
      </c>
      <c r="J152" s="533"/>
      <c r="K152" s="533"/>
      <c r="N152" s="18"/>
      <c r="O152" s="18"/>
      <c r="P152" s="18"/>
      <c r="Q152" s="18"/>
      <c r="R152" s="18"/>
    </row>
    <row r="153" spans="1:18" x14ac:dyDescent="0.25">
      <c r="A153" s="21" t="s">
        <v>846</v>
      </c>
      <c r="B153" s="46">
        <v>5.2845167599999998</v>
      </c>
      <c r="C153" s="180">
        <f t="shared" si="11"/>
        <v>4.0389094883803017E-2</v>
      </c>
      <c r="D153" s="46">
        <v>8.3939312200000007</v>
      </c>
      <c r="E153" s="180">
        <f t="shared" si="12"/>
        <v>7.5579425216826382E-2</v>
      </c>
      <c r="F153" s="46">
        <v>6.2721584499999992</v>
      </c>
      <c r="G153" s="180">
        <f t="shared" si="13"/>
        <v>5.578074138270088E-2</v>
      </c>
      <c r="H153" s="180">
        <f t="shared" si="14"/>
        <v>-25.277461947085168</v>
      </c>
      <c r="I153" s="532">
        <f t="shared" si="15"/>
        <v>18.689347292371906</v>
      </c>
      <c r="J153" s="533"/>
      <c r="K153" s="533"/>
      <c r="N153" s="18"/>
      <c r="O153" s="18"/>
      <c r="P153" s="18"/>
      <c r="Q153" s="18"/>
      <c r="R153" s="18"/>
    </row>
    <row r="154" spans="1:18" x14ac:dyDescent="0.25">
      <c r="A154" s="21" t="s">
        <v>743</v>
      </c>
      <c r="B154" s="46">
        <v>539.11075545000006</v>
      </c>
      <c r="C154" s="180">
        <f t="shared" si="11"/>
        <v>4.1203758912383082</v>
      </c>
      <c r="D154" s="46">
        <v>75.278986730000014</v>
      </c>
      <c r="E154" s="180">
        <f t="shared" si="12"/>
        <v>0.677816198255494</v>
      </c>
      <c r="F154" s="46">
        <v>6.2643619300000006</v>
      </c>
      <c r="G154" s="180">
        <f t="shared" si="13"/>
        <v>5.5711403901948148E-2</v>
      </c>
      <c r="H154" s="180">
        <f t="shared" si="14"/>
        <v>-91.678472038328408</v>
      </c>
      <c r="I154" s="532">
        <f t="shared" si="15"/>
        <v>-98.838019485481965</v>
      </c>
      <c r="J154" s="533"/>
      <c r="K154" s="533"/>
      <c r="N154" s="18"/>
      <c r="O154" s="18"/>
      <c r="P154" s="18"/>
      <c r="Q154" s="18"/>
      <c r="R154" s="18"/>
    </row>
    <row r="155" spans="1:18" x14ac:dyDescent="0.25">
      <c r="A155" s="21" t="s">
        <v>845</v>
      </c>
      <c r="B155" s="46">
        <v>5.0091889199999988</v>
      </c>
      <c r="C155" s="180">
        <f t="shared" si="11"/>
        <v>3.8284788518822811E-2</v>
      </c>
      <c r="D155" s="46">
        <v>6.7536097000000002</v>
      </c>
      <c r="E155" s="180">
        <f t="shared" si="12"/>
        <v>6.080987869528709E-2</v>
      </c>
      <c r="F155" s="46">
        <v>6.2010543099999982</v>
      </c>
      <c r="G155" s="180">
        <f t="shared" si="13"/>
        <v>5.5148384646786563E-2</v>
      </c>
      <c r="H155" s="180">
        <f t="shared" si="14"/>
        <v>-8.1816304842135317</v>
      </c>
      <c r="I155" s="532">
        <f t="shared" si="15"/>
        <v>23.793580338750719</v>
      </c>
      <c r="J155" s="533"/>
      <c r="K155" s="533"/>
      <c r="N155" s="18"/>
      <c r="O155" s="18"/>
      <c r="P155" s="18"/>
      <c r="Q155" s="18"/>
      <c r="R155" s="18"/>
    </row>
    <row r="156" spans="1:18" x14ac:dyDescent="0.25">
      <c r="A156" s="21" t="s">
        <v>838</v>
      </c>
      <c r="B156" s="46">
        <v>2.5640342799999996</v>
      </c>
      <c r="C156" s="180">
        <f t="shared" si="11"/>
        <v>1.9596687554122458E-2</v>
      </c>
      <c r="D156" s="46">
        <v>2.0219157000000001</v>
      </c>
      <c r="E156" s="180">
        <f t="shared" si="12"/>
        <v>1.8205441817150982E-2</v>
      </c>
      <c r="F156" s="46">
        <v>6.04954474</v>
      </c>
      <c r="G156" s="180">
        <f t="shared" si="13"/>
        <v>5.3800951190099242E-2</v>
      </c>
      <c r="H156" s="180">
        <f t="shared" si="14"/>
        <v>199.19866293139719</v>
      </c>
      <c r="I156" s="532">
        <f t="shared" si="15"/>
        <v>135.93852809175394</v>
      </c>
      <c r="J156" s="533"/>
      <c r="K156" s="533"/>
      <c r="N156" s="18"/>
      <c r="O156" s="18"/>
      <c r="P156" s="18"/>
      <c r="Q156" s="18"/>
      <c r="R156" s="18"/>
    </row>
    <row r="157" spans="1:18" x14ac:dyDescent="0.25">
      <c r="A157" s="21" t="s">
        <v>842</v>
      </c>
      <c r="B157" s="46">
        <v>5.1223681299999981</v>
      </c>
      <c r="C157" s="180">
        <f t="shared" si="11"/>
        <v>3.9149807225200013E-2</v>
      </c>
      <c r="D157" s="46">
        <v>5.1798074000000005</v>
      </c>
      <c r="E157" s="180">
        <f t="shared" si="12"/>
        <v>4.6639274943435123E-2</v>
      </c>
      <c r="F157" s="46">
        <v>6.0412941500000006</v>
      </c>
      <c r="G157" s="180">
        <f t="shared" si="13"/>
        <v>5.3727575488462645E-2</v>
      </c>
      <c r="H157" s="180">
        <f t="shared" si="14"/>
        <v>16.631636728423537</v>
      </c>
      <c r="I157" s="532">
        <f t="shared" si="15"/>
        <v>17.939476364811814</v>
      </c>
      <c r="J157" s="533"/>
      <c r="K157" s="533"/>
      <c r="N157" s="18"/>
      <c r="O157" s="18"/>
      <c r="P157" s="18"/>
      <c r="Q157" s="18"/>
      <c r="R157" s="18"/>
    </row>
    <row r="158" spans="1:18" x14ac:dyDescent="0.25">
      <c r="A158" s="21" t="s">
        <v>843</v>
      </c>
      <c r="B158" s="46">
        <v>6.0893439999999996</v>
      </c>
      <c r="C158" s="180">
        <f t="shared" si="11"/>
        <v>4.6540318399163637E-2</v>
      </c>
      <c r="D158" s="46">
        <v>7.0611316300000029</v>
      </c>
      <c r="E158" s="180">
        <f t="shared" si="12"/>
        <v>6.3578823317514924E-2</v>
      </c>
      <c r="F158" s="46">
        <v>5.9608516500000004</v>
      </c>
      <c r="G158" s="180">
        <f t="shared" si="13"/>
        <v>5.3012169089780549E-2</v>
      </c>
      <c r="H158" s="180">
        <f t="shared" si="14"/>
        <v>-15.582204633112074</v>
      </c>
      <c r="I158" s="532">
        <f t="shared" si="15"/>
        <v>-2.1101181013915338</v>
      </c>
      <c r="J158" s="533"/>
      <c r="K158" s="533"/>
      <c r="N158" s="18"/>
      <c r="O158" s="18"/>
      <c r="P158" s="18"/>
      <c r="Q158" s="18"/>
      <c r="R158" s="18"/>
    </row>
    <row r="159" spans="1:18" x14ac:dyDescent="0.25">
      <c r="A159" s="21" t="s">
        <v>844</v>
      </c>
      <c r="B159" s="46">
        <v>6.0287489800000023</v>
      </c>
      <c r="C159" s="180">
        <f t="shared" si="11"/>
        <v>4.6077196012876451E-2</v>
      </c>
      <c r="D159" s="46">
        <v>20.972764180000002</v>
      </c>
      <c r="E159" s="180">
        <f t="shared" si="12"/>
        <v>0.18883993928323431</v>
      </c>
      <c r="F159" s="46">
        <v>5.9223675399999989</v>
      </c>
      <c r="G159" s="180">
        <f t="shared" si="13"/>
        <v>5.2669914951214661E-2</v>
      </c>
      <c r="H159" s="180">
        <f t="shared" si="14"/>
        <v>-71.761626225465918</v>
      </c>
      <c r="I159" s="532">
        <f t="shared" si="15"/>
        <v>-1.7645690731678654</v>
      </c>
      <c r="J159" s="533"/>
      <c r="K159" s="533"/>
      <c r="N159" s="18"/>
      <c r="O159" s="18"/>
      <c r="P159" s="18"/>
      <c r="Q159" s="18"/>
      <c r="R159" s="18"/>
    </row>
    <row r="160" spans="1:18" x14ac:dyDescent="0.25">
      <c r="A160" s="21" t="s">
        <v>839</v>
      </c>
      <c r="B160" s="46">
        <v>6.7094902499999982</v>
      </c>
      <c r="C160" s="180">
        <f t="shared" si="11"/>
        <v>5.1280041418432586E-2</v>
      </c>
      <c r="D160" s="46">
        <v>4.9672300100000006</v>
      </c>
      <c r="E160" s="180">
        <f t="shared" si="12"/>
        <v>4.4725216258749707E-2</v>
      </c>
      <c r="F160" s="46">
        <v>5.6882146799999989</v>
      </c>
      <c r="G160" s="180">
        <f t="shared" si="13"/>
        <v>5.0587502615525061E-2</v>
      </c>
      <c r="H160" s="180">
        <f t="shared" si="14"/>
        <v>14.514823524348897</v>
      </c>
      <c r="I160" s="532">
        <f t="shared" si="15"/>
        <v>-15.221358582345356</v>
      </c>
      <c r="J160" s="533"/>
      <c r="K160" s="533"/>
      <c r="N160" s="18"/>
      <c r="O160" s="18"/>
      <c r="P160" s="18"/>
      <c r="Q160" s="18"/>
      <c r="R160" s="18"/>
    </row>
    <row r="161" spans="1:18" x14ac:dyDescent="0.25">
      <c r="A161" s="21" t="s">
        <v>840</v>
      </c>
      <c r="B161" s="46">
        <v>12.206788529999999</v>
      </c>
      <c r="C161" s="180">
        <f t="shared" si="11"/>
        <v>9.3295406667361649E-2</v>
      </c>
      <c r="D161" s="46">
        <v>6.554414519999999</v>
      </c>
      <c r="E161" s="180">
        <f t="shared" si="12"/>
        <v>5.9016314176377163E-2</v>
      </c>
      <c r="F161" s="46">
        <v>5.492984439999999</v>
      </c>
      <c r="G161" s="180">
        <f t="shared" si="13"/>
        <v>4.8851244258161237E-2</v>
      </c>
      <c r="H161" s="180">
        <f t="shared" si="14"/>
        <v>-16.194124994096349</v>
      </c>
      <c r="I161" s="532">
        <f t="shared" si="15"/>
        <v>-55.0005767159792</v>
      </c>
      <c r="J161" s="533"/>
      <c r="K161" s="533"/>
      <c r="N161" s="18"/>
      <c r="O161" s="18"/>
      <c r="P161" s="18"/>
      <c r="Q161" s="18"/>
      <c r="R161" s="18"/>
    </row>
    <row r="162" spans="1:18" x14ac:dyDescent="0.25">
      <c r="A162" s="21" t="s">
        <v>756</v>
      </c>
      <c r="B162" s="46">
        <v>32.618787310000002</v>
      </c>
      <c r="C162" s="180">
        <f t="shared" si="11"/>
        <v>0.24930251061559316</v>
      </c>
      <c r="D162" s="46">
        <v>10.324639459999998</v>
      </c>
      <c r="E162" s="180">
        <f t="shared" si="12"/>
        <v>9.2963629973342149E-2</v>
      </c>
      <c r="F162" s="46">
        <v>5.2281240199999992</v>
      </c>
      <c r="G162" s="180">
        <f t="shared" si="13"/>
        <v>4.6495737663691597E-2</v>
      </c>
      <c r="H162" s="180">
        <f t="shared" si="14"/>
        <v>-49.362648058995759</v>
      </c>
      <c r="I162" s="532">
        <f t="shared" si="15"/>
        <v>-83.972046629712665</v>
      </c>
      <c r="J162" s="533"/>
      <c r="K162" s="533"/>
      <c r="N162" s="18"/>
      <c r="O162" s="18"/>
      <c r="P162" s="18"/>
      <c r="Q162" s="18"/>
      <c r="R162" s="18"/>
    </row>
    <row r="163" spans="1:18" x14ac:dyDescent="0.25">
      <c r="A163" s="21" t="s">
        <v>837</v>
      </c>
      <c r="B163" s="46">
        <v>3.4123985999999995</v>
      </c>
      <c r="C163" s="180">
        <f t="shared" si="11"/>
        <v>2.6080661126857051E-2</v>
      </c>
      <c r="D163" s="46">
        <v>5.1611502000000016</v>
      </c>
      <c r="E163" s="180">
        <f t="shared" si="12"/>
        <v>4.6471284473273131E-2</v>
      </c>
      <c r="F163" s="46">
        <v>5.1173363700000003</v>
      </c>
      <c r="G163" s="180">
        <f t="shared" si="13"/>
        <v>4.551046005912994E-2</v>
      </c>
      <c r="H163" s="180">
        <f t="shared" si="14"/>
        <v>-0.84891600325837091</v>
      </c>
      <c r="I163" s="532">
        <f t="shared" si="15"/>
        <v>49.96303098940438</v>
      </c>
      <c r="J163" s="533"/>
      <c r="K163" s="533"/>
      <c r="N163" s="18"/>
      <c r="O163" s="18"/>
      <c r="P163" s="18"/>
      <c r="Q163" s="18"/>
      <c r="R163" s="18"/>
    </row>
    <row r="164" spans="1:18" x14ac:dyDescent="0.25">
      <c r="A164" s="21" t="s">
        <v>836</v>
      </c>
      <c r="B164" s="46">
        <v>5.1820878899999991</v>
      </c>
      <c r="C164" s="180">
        <f t="shared" si="11"/>
        <v>3.9606240076607603E-2</v>
      </c>
      <c r="D164" s="46">
        <v>5.36909422</v>
      </c>
      <c r="E164" s="180">
        <f t="shared" si="12"/>
        <v>4.834362403586441E-2</v>
      </c>
      <c r="F164" s="46">
        <v>5.0430982699999998</v>
      </c>
      <c r="G164" s="180">
        <f t="shared" si="13"/>
        <v>4.4850231799615371E-2</v>
      </c>
      <c r="H164" s="180">
        <f t="shared" si="14"/>
        <v>-6.0717122226251474</v>
      </c>
      <c r="I164" s="532">
        <f t="shared" si="15"/>
        <v>-2.6821162232352536</v>
      </c>
      <c r="J164" s="533"/>
      <c r="K164" s="533"/>
      <c r="N164" s="18"/>
      <c r="O164" s="18"/>
      <c r="P164" s="18"/>
      <c r="Q164" s="18"/>
      <c r="R164" s="18"/>
    </row>
    <row r="165" spans="1:18" x14ac:dyDescent="0.25">
      <c r="A165" s="21" t="s">
        <v>829</v>
      </c>
      <c r="B165" s="46">
        <v>4.1485170200000008</v>
      </c>
      <c r="C165" s="180">
        <f t="shared" si="11"/>
        <v>3.1706749199117264E-2</v>
      </c>
      <c r="D165" s="46">
        <v>5.427463249999998</v>
      </c>
      <c r="E165" s="180">
        <f t="shared" si="12"/>
        <v>4.8869182039884315E-2</v>
      </c>
      <c r="F165" s="46">
        <v>4.9942215900000004</v>
      </c>
      <c r="G165" s="180">
        <f t="shared" si="13"/>
        <v>4.4415552499266223E-2</v>
      </c>
      <c r="H165" s="180">
        <f t="shared" si="14"/>
        <v>-7.9823969328580491</v>
      </c>
      <c r="I165" s="532">
        <f t="shared" si="15"/>
        <v>20.38570809575706</v>
      </c>
      <c r="J165" s="533"/>
      <c r="K165" s="533"/>
      <c r="N165" s="18"/>
      <c r="O165" s="18"/>
      <c r="P165" s="18"/>
      <c r="Q165" s="18"/>
      <c r="R165" s="18"/>
    </row>
    <row r="166" spans="1:18" x14ac:dyDescent="0.25">
      <c r="A166" s="21" t="s">
        <v>835</v>
      </c>
      <c r="B166" s="46">
        <v>2.4819255800000004</v>
      </c>
      <c r="C166" s="180">
        <f t="shared" si="11"/>
        <v>1.8969138011619788E-2</v>
      </c>
      <c r="D166" s="46">
        <v>5.969718499999999</v>
      </c>
      <c r="E166" s="180">
        <f t="shared" si="12"/>
        <v>5.3751678577163127E-2</v>
      </c>
      <c r="F166" s="46">
        <v>4.5810902800000006</v>
      </c>
      <c r="G166" s="180">
        <f t="shared" si="13"/>
        <v>4.0741415287345747E-2</v>
      </c>
      <c r="H166" s="180">
        <f t="shared" si="14"/>
        <v>-23.261201009729326</v>
      </c>
      <c r="I166" s="532">
        <f t="shared" si="15"/>
        <v>84.578067808141128</v>
      </c>
      <c r="J166" s="533"/>
      <c r="K166" s="533"/>
      <c r="N166" s="18"/>
      <c r="O166" s="18"/>
      <c r="P166" s="18"/>
      <c r="Q166" s="18"/>
      <c r="R166" s="18"/>
    </row>
    <row r="167" spans="1:18" x14ac:dyDescent="0.25">
      <c r="A167" s="21" t="s">
        <v>834</v>
      </c>
      <c r="B167" s="46">
        <v>4.78490357</v>
      </c>
      <c r="C167" s="180">
        <f t="shared" si="11"/>
        <v>3.6570595396991007E-2</v>
      </c>
      <c r="D167" s="46">
        <v>7.3731327600000007</v>
      </c>
      <c r="E167" s="180">
        <f t="shared" si="12"/>
        <v>6.6388098906551757E-2</v>
      </c>
      <c r="F167" s="46">
        <v>4.5119795099999997</v>
      </c>
      <c r="G167" s="180">
        <f t="shared" si="13"/>
        <v>4.0126786365123707E-2</v>
      </c>
      <c r="H167" s="180">
        <f t="shared" si="14"/>
        <v>-38.805123183486536</v>
      </c>
      <c r="I167" s="532">
        <f t="shared" si="15"/>
        <v>-5.7038570580848713</v>
      </c>
      <c r="J167" s="533"/>
      <c r="K167" s="533"/>
      <c r="N167" s="18"/>
      <c r="O167" s="18"/>
      <c r="P167" s="18"/>
      <c r="Q167" s="18"/>
      <c r="R167" s="18"/>
    </row>
    <row r="168" spans="1:18" x14ac:dyDescent="0.25">
      <c r="A168" s="21" t="s">
        <v>833</v>
      </c>
      <c r="B168" s="46">
        <v>8.2586226000000025</v>
      </c>
      <c r="C168" s="180">
        <f t="shared" si="11"/>
        <v>6.3119923154699206E-2</v>
      </c>
      <c r="D168" s="46">
        <v>4.7815633900000014</v>
      </c>
      <c r="E168" s="180">
        <f t="shared" si="12"/>
        <v>4.3053463649183901E-2</v>
      </c>
      <c r="F168" s="46">
        <v>4.4926939999999993</v>
      </c>
      <c r="G168" s="180">
        <f t="shared" si="13"/>
        <v>3.9955272833646596E-2</v>
      </c>
      <c r="H168" s="180">
        <f t="shared" si="14"/>
        <v>-6.0413167501686571</v>
      </c>
      <c r="I168" s="532">
        <f t="shared" si="15"/>
        <v>-45.599959973955009</v>
      </c>
      <c r="J168" s="533"/>
      <c r="K168" s="533"/>
      <c r="N168" s="18"/>
      <c r="O168" s="18"/>
      <c r="P168" s="18"/>
      <c r="Q168" s="18"/>
      <c r="R168" s="18"/>
    </row>
    <row r="169" spans="1:18" x14ac:dyDescent="0.25">
      <c r="A169" s="21" t="s">
        <v>832</v>
      </c>
      <c r="B169" s="46">
        <v>19.67035465</v>
      </c>
      <c r="C169" s="180">
        <f t="shared" si="11"/>
        <v>0.15033878336245562</v>
      </c>
      <c r="D169" s="46">
        <v>6.7523044900000002</v>
      </c>
      <c r="E169" s="180">
        <f t="shared" si="12"/>
        <v>6.0798126511596072E-2</v>
      </c>
      <c r="F169" s="46">
        <v>4.1302784700000004</v>
      </c>
      <c r="G169" s="180">
        <f t="shared" si="13"/>
        <v>3.6732170752734654E-2</v>
      </c>
      <c r="H169" s="180">
        <f t="shared" si="14"/>
        <v>-38.831572596928311</v>
      </c>
      <c r="I169" s="532">
        <f t="shared" si="15"/>
        <v>-79.002521594088293</v>
      </c>
      <c r="J169" s="533"/>
      <c r="K169" s="533"/>
      <c r="N169" s="18"/>
      <c r="O169" s="18"/>
      <c r="P169" s="18"/>
      <c r="Q169" s="18"/>
      <c r="R169" s="18"/>
    </row>
    <row r="170" spans="1:18" x14ac:dyDescent="0.25">
      <c r="A170" s="21" t="s">
        <v>831</v>
      </c>
      <c r="B170" s="46">
        <v>22.921749730000002</v>
      </c>
      <c r="C170" s="180">
        <f t="shared" si="11"/>
        <v>0.17518890880530699</v>
      </c>
      <c r="D170" s="46">
        <v>2.9757286700000001</v>
      </c>
      <c r="E170" s="180">
        <f t="shared" si="12"/>
        <v>2.6793627036633162E-2</v>
      </c>
      <c r="F170" s="46">
        <v>4.0225905099999997</v>
      </c>
      <c r="G170" s="180">
        <f t="shared" si="13"/>
        <v>3.5774459895351794E-2</v>
      </c>
      <c r="H170" s="180">
        <f t="shared" si="14"/>
        <v>35.18001659741374</v>
      </c>
      <c r="I170" s="532">
        <f t="shared" si="15"/>
        <v>-82.450770306006646</v>
      </c>
      <c r="J170" s="533"/>
      <c r="K170" s="533"/>
      <c r="N170" s="18"/>
      <c r="O170" s="18"/>
      <c r="P170" s="18"/>
      <c r="Q170" s="18"/>
      <c r="R170" s="18"/>
    </row>
    <row r="171" spans="1:18" x14ac:dyDescent="0.25">
      <c r="A171" s="21" t="s">
        <v>830</v>
      </c>
      <c r="B171" s="46">
        <v>1.9546767100000002</v>
      </c>
      <c r="C171" s="180">
        <f t="shared" si="11"/>
        <v>1.4939421463269223E-2</v>
      </c>
      <c r="D171" s="46">
        <v>1.3105569799999999</v>
      </c>
      <c r="E171" s="180">
        <f t="shared" si="12"/>
        <v>1.1800328197387801E-2</v>
      </c>
      <c r="F171" s="46">
        <v>3.9639589899999996</v>
      </c>
      <c r="G171" s="180">
        <f t="shared" si="13"/>
        <v>3.525302701382204E-2</v>
      </c>
      <c r="H171" s="180">
        <f t="shared" si="14"/>
        <v>202.46368914078045</v>
      </c>
      <c r="I171" s="532">
        <f t="shared" si="15"/>
        <v>102.79358574850974</v>
      </c>
      <c r="J171" s="533"/>
      <c r="K171" s="533"/>
      <c r="N171" s="18"/>
      <c r="O171" s="18"/>
      <c r="P171" s="18"/>
      <c r="Q171" s="18"/>
      <c r="R171" s="18"/>
    </row>
    <row r="172" spans="1:18" x14ac:dyDescent="0.25">
      <c r="A172" s="21" t="s">
        <v>828</v>
      </c>
      <c r="B172" s="46">
        <v>4.2701727300000005</v>
      </c>
      <c r="C172" s="180">
        <f t="shared" si="11"/>
        <v>3.2636553046375083E-2</v>
      </c>
      <c r="D172" s="46">
        <v>6.011453219999999</v>
      </c>
      <c r="E172" s="180">
        <f t="shared" si="12"/>
        <v>5.4127460325489776E-2</v>
      </c>
      <c r="F172" s="46">
        <v>3.9530590400000003</v>
      </c>
      <c r="G172" s="180">
        <f t="shared" si="13"/>
        <v>3.5156089524617774E-2</v>
      </c>
      <c r="H172" s="180">
        <f t="shared" si="14"/>
        <v>-34.241207652614804</v>
      </c>
      <c r="I172" s="532">
        <f t="shared" si="15"/>
        <v>-7.4262497105123</v>
      </c>
      <c r="J172" s="533"/>
      <c r="K172" s="533"/>
      <c r="N172" s="18"/>
      <c r="O172" s="18"/>
      <c r="P172" s="18"/>
      <c r="Q172" s="18"/>
      <c r="R172" s="18"/>
    </row>
    <row r="173" spans="1:18" x14ac:dyDescent="0.25">
      <c r="A173" s="21" t="s">
        <v>827</v>
      </c>
      <c r="B173" s="46">
        <v>2.1718799999999994</v>
      </c>
      <c r="C173" s="180">
        <f t="shared" si="11"/>
        <v>1.6599487025987607E-2</v>
      </c>
      <c r="D173" s="46">
        <v>3.7319561799999996</v>
      </c>
      <c r="E173" s="180">
        <f t="shared" si="12"/>
        <v>3.3602741745932842E-2</v>
      </c>
      <c r="F173" s="46">
        <v>3.6938989100000006</v>
      </c>
      <c r="G173" s="180">
        <f t="shared" si="13"/>
        <v>3.2851277823274815E-2</v>
      </c>
      <c r="H173" s="180">
        <f t="shared" si="14"/>
        <v>-1.0197673328522061</v>
      </c>
      <c r="I173" s="532">
        <f t="shared" si="15"/>
        <v>70.078407186400796</v>
      </c>
      <c r="J173" s="533"/>
      <c r="K173" s="533"/>
      <c r="N173" s="18"/>
      <c r="O173" s="18"/>
      <c r="P173" s="18"/>
      <c r="Q173" s="18"/>
      <c r="R173" s="18"/>
    </row>
    <row r="174" spans="1:18" x14ac:dyDescent="0.25">
      <c r="A174" s="21" t="s">
        <v>736</v>
      </c>
      <c r="B174" s="46">
        <v>0.82207707000000008</v>
      </c>
      <c r="C174" s="180">
        <f t="shared" si="11"/>
        <v>6.283062442596697E-3</v>
      </c>
      <c r="D174" s="46">
        <v>1.87967415</v>
      </c>
      <c r="E174" s="180">
        <f t="shared" si="12"/>
        <v>1.692469096165964E-2</v>
      </c>
      <c r="F174" s="46">
        <v>2.7530765300000004</v>
      </c>
      <c r="G174" s="180">
        <f t="shared" si="13"/>
        <v>2.4484178955446124E-2</v>
      </c>
      <c r="H174" s="180">
        <f t="shared" si="14"/>
        <v>46.465627034345317</v>
      </c>
      <c r="I174" s="532">
        <f t="shared" si="15"/>
        <v>234.89275281695913</v>
      </c>
      <c r="J174" s="533"/>
      <c r="K174" s="533"/>
      <c r="N174" s="18"/>
      <c r="O174" s="18"/>
      <c r="P174" s="18"/>
      <c r="Q174" s="18"/>
      <c r="R174" s="18"/>
    </row>
    <row r="175" spans="1:18" x14ac:dyDescent="0.25">
      <c r="A175" s="21" t="s">
        <v>825</v>
      </c>
      <c r="B175" s="46">
        <v>3.5912088600000001</v>
      </c>
      <c r="C175" s="180">
        <f t="shared" si="11"/>
        <v>2.7447292152044205E-2</v>
      </c>
      <c r="D175" s="46">
        <v>2.72574717</v>
      </c>
      <c r="E175" s="180">
        <f t="shared" si="12"/>
        <v>2.4542779657776501E-2</v>
      </c>
      <c r="F175" s="46">
        <v>2.7192193899999997</v>
      </c>
      <c r="G175" s="180">
        <f t="shared" si="13"/>
        <v>2.4183074258338554E-2</v>
      </c>
      <c r="H175" s="180">
        <f t="shared" si="14"/>
        <v>-0.23948589479780846</v>
      </c>
      <c r="I175" s="532">
        <f t="shared" si="15"/>
        <v>-24.281224066706063</v>
      </c>
      <c r="J175" s="533"/>
      <c r="K175" s="533"/>
      <c r="N175" s="18"/>
      <c r="O175" s="18"/>
      <c r="P175" s="18"/>
      <c r="Q175" s="18"/>
      <c r="R175" s="18"/>
    </row>
    <row r="176" spans="1:18" x14ac:dyDescent="0.25">
      <c r="A176" s="21" t="s">
        <v>824</v>
      </c>
      <c r="B176" s="46">
        <v>0.84309294000000001</v>
      </c>
      <c r="C176" s="180">
        <f t="shared" si="11"/>
        <v>6.443684880947269E-3</v>
      </c>
      <c r="D176" s="46">
        <v>1.00255395</v>
      </c>
      <c r="E176" s="180">
        <f t="shared" si="12"/>
        <v>9.0270517239071299E-3</v>
      </c>
      <c r="F176" s="46">
        <v>2.6907641</v>
      </c>
      <c r="G176" s="180">
        <f t="shared" si="13"/>
        <v>2.3930010311514996E-2</v>
      </c>
      <c r="H176" s="180">
        <f t="shared" si="14"/>
        <v>168.39095292577522</v>
      </c>
      <c r="I176" s="532">
        <f t="shared" si="15"/>
        <v>219.15391202303272</v>
      </c>
      <c r="J176" s="533"/>
      <c r="K176" s="533"/>
      <c r="N176" s="18"/>
      <c r="O176" s="18"/>
      <c r="P176" s="18"/>
      <c r="Q176" s="18"/>
      <c r="R176" s="18"/>
    </row>
    <row r="177" spans="1:18" x14ac:dyDescent="0.25">
      <c r="A177" s="21" t="s">
        <v>823</v>
      </c>
      <c r="B177" s="46">
        <v>6.5310924200000002</v>
      </c>
      <c r="C177" s="180">
        <f t="shared" si="11"/>
        <v>4.9916562559310852E-2</v>
      </c>
      <c r="D177" s="46">
        <v>2.4793755799999997</v>
      </c>
      <c r="E177" s="180">
        <f t="shared" si="12"/>
        <v>2.2324436110048976E-2</v>
      </c>
      <c r="F177" s="46">
        <v>2.4854065600000004</v>
      </c>
      <c r="G177" s="180">
        <f t="shared" si="13"/>
        <v>2.2103685941516394E-2</v>
      </c>
      <c r="H177" s="180">
        <f t="shared" si="14"/>
        <v>0.24324592242699339</v>
      </c>
      <c r="I177" s="532">
        <f t="shared" si="15"/>
        <v>-61.945010112106182</v>
      </c>
      <c r="J177" s="533"/>
      <c r="K177" s="533"/>
      <c r="N177" s="18"/>
      <c r="O177" s="18"/>
      <c r="P177" s="18"/>
      <c r="Q177" s="18"/>
      <c r="R177" s="18"/>
    </row>
    <row r="178" spans="1:18" x14ac:dyDescent="0.25">
      <c r="A178" s="21" t="s">
        <v>822</v>
      </c>
      <c r="B178" s="46">
        <v>2.9816606499999998</v>
      </c>
      <c r="C178" s="180">
        <f t="shared" si="11"/>
        <v>2.2788569016507724E-2</v>
      </c>
      <c r="D178" s="46">
        <v>2.9066065599999988</v>
      </c>
      <c r="E178" s="180">
        <f t="shared" si="12"/>
        <v>2.6171247700104081E-2</v>
      </c>
      <c r="F178" s="46">
        <v>2.3817011400000001</v>
      </c>
      <c r="G178" s="180">
        <f t="shared" si="13"/>
        <v>2.1181393359286687E-2</v>
      </c>
      <c r="H178" s="180">
        <f t="shared" si="14"/>
        <v>-18.059046147614801</v>
      </c>
      <c r="I178" s="532">
        <f t="shared" si="15"/>
        <v>-20.121656366226649</v>
      </c>
      <c r="J178" s="533"/>
      <c r="K178" s="533"/>
      <c r="N178" s="18"/>
      <c r="O178" s="18"/>
      <c r="P178" s="18"/>
      <c r="Q178" s="18"/>
      <c r="R178" s="18"/>
    </row>
    <row r="179" spans="1:18" x14ac:dyDescent="0.25">
      <c r="A179" s="21" t="s">
        <v>465</v>
      </c>
      <c r="B179" s="46"/>
      <c r="C179" s="180">
        <f t="shared" si="11"/>
        <v>0</v>
      </c>
      <c r="D179" s="46"/>
      <c r="E179" s="180">
        <f t="shared" si="12"/>
        <v>0</v>
      </c>
      <c r="F179" s="46">
        <v>2.1647500000000002</v>
      </c>
      <c r="G179" s="180">
        <f t="shared" si="13"/>
        <v>1.9251962601200191E-2</v>
      </c>
      <c r="H179" s="180" t="s">
        <v>240</v>
      </c>
      <c r="I179" s="532" t="s">
        <v>240</v>
      </c>
      <c r="J179" s="533"/>
      <c r="K179" s="533"/>
      <c r="N179" s="18"/>
      <c r="O179" s="18"/>
      <c r="P179" s="18"/>
      <c r="Q179" s="18"/>
      <c r="R179" s="18"/>
    </row>
    <row r="180" spans="1:18" x14ac:dyDescent="0.25">
      <c r="A180" s="21" t="s">
        <v>821</v>
      </c>
      <c r="B180" s="46">
        <v>6.4060372200000009</v>
      </c>
      <c r="C180" s="180">
        <f t="shared" si="11"/>
        <v>4.8960776710215932E-2</v>
      </c>
      <c r="D180" s="46">
        <v>3.0612338299999999</v>
      </c>
      <c r="E180" s="180">
        <f t="shared" si="12"/>
        <v>2.7563520269791291E-2</v>
      </c>
      <c r="F180" s="46">
        <v>2.13990759</v>
      </c>
      <c r="G180" s="180">
        <f t="shared" si="13"/>
        <v>1.9031029399563193E-2</v>
      </c>
      <c r="H180" s="180">
        <f t="shared" si="14"/>
        <v>-30.096565344699588</v>
      </c>
      <c r="I180" s="532">
        <f t="shared" si="15"/>
        <v>-66.595454935555324</v>
      </c>
      <c r="J180" s="533"/>
      <c r="K180" s="533"/>
      <c r="N180" s="18"/>
      <c r="O180" s="18"/>
      <c r="P180" s="18"/>
      <c r="Q180" s="18"/>
      <c r="R180" s="18"/>
    </row>
    <row r="181" spans="1:18" x14ac:dyDescent="0.25">
      <c r="A181" s="21" t="s">
        <v>796</v>
      </c>
      <c r="B181" s="46">
        <v>5.379862769999999</v>
      </c>
      <c r="C181" s="180">
        <f t="shared" si="11"/>
        <v>4.1117816017555653E-2</v>
      </c>
      <c r="D181" s="46">
        <v>3.0264189799999999</v>
      </c>
      <c r="E181" s="180">
        <f t="shared" si="12"/>
        <v>2.7250045417181047E-2</v>
      </c>
      <c r="F181" s="46">
        <v>2.0734694299999998</v>
      </c>
      <c r="G181" s="180">
        <f t="shared" si="13"/>
        <v>1.84401690361898E-2</v>
      </c>
      <c r="H181" s="180">
        <f t="shared" si="14"/>
        <v>-31.487694079951879</v>
      </c>
      <c r="I181" s="532">
        <f t="shared" si="15"/>
        <v>-61.458692932422146</v>
      </c>
      <c r="J181" s="533"/>
      <c r="K181" s="533"/>
      <c r="N181" s="18"/>
      <c r="O181" s="18"/>
      <c r="P181" s="18"/>
      <c r="Q181" s="18"/>
      <c r="R181" s="18"/>
    </row>
    <row r="182" spans="1:18" x14ac:dyDescent="0.25">
      <c r="A182" s="21" t="s">
        <v>820</v>
      </c>
      <c r="B182" s="46">
        <v>0.79331226999999993</v>
      </c>
      <c r="C182" s="180">
        <f t="shared" si="11"/>
        <v>6.0632156166186809E-3</v>
      </c>
      <c r="D182" s="46">
        <v>0.79190394999999991</v>
      </c>
      <c r="E182" s="180">
        <f t="shared" si="12"/>
        <v>7.1303473663600495E-3</v>
      </c>
      <c r="F182" s="46">
        <v>1.9920576800000001</v>
      </c>
      <c r="G182" s="180">
        <f t="shared" si="13"/>
        <v>1.7716142720773122E-2</v>
      </c>
      <c r="H182" s="180">
        <f t="shared" si="14"/>
        <v>151.55294148993704</v>
      </c>
      <c r="I182" s="532">
        <f t="shared" si="15"/>
        <v>151.10637454277622</v>
      </c>
      <c r="J182" s="533"/>
      <c r="K182" s="533"/>
      <c r="N182" s="18"/>
      <c r="O182" s="18"/>
      <c r="P182" s="18"/>
      <c r="Q182" s="18"/>
      <c r="R182" s="18"/>
    </row>
    <row r="183" spans="1:18" x14ac:dyDescent="0.25">
      <c r="A183" s="21" t="s">
        <v>819</v>
      </c>
      <c r="B183" s="46">
        <v>2.7577001499999998</v>
      </c>
      <c r="C183" s="180">
        <f t="shared" si="11"/>
        <v>2.1076858694536113E-2</v>
      </c>
      <c r="D183" s="46">
        <v>2.0033440000000002</v>
      </c>
      <c r="E183" s="180">
        <f t="shared" si="12"/>
        <v>1.8038221193761202E-2</v>
      </c>
      <c r="F183" s="46">
        <v>1.7927476399999998</v>
      </c>
      <c r="G183" s="180">
        <f t="shared" si="13"/>
        <v>1.5943601117297559E-2</v>
      </c>
      <c r="H183" s="180">
        <f t="shared" si="14"/>
        <v>-10.512241532158251</v>
      </c>
      <c r="I183" s="532">
        <f t="shared" si="15"/>
        <v>-34.991204899488437</v>
      </c>
      <c r="J183" s="533"/>
      <c r="K183" s="533"/>
      <c r="N183" s="18"/>
      <c r="O183" s="18"/>
      <c r="P183" s="18"/>
      <c r="Q183" s="18"/>
      <c r="R183" s="18"/>
    </row>
    <row r="184" spans="1:18" x14ac:dyDescent="0.25">
      <c r="A184" s="21" t="s">
        <v>818</v>
      </c>
      <c r="B184" s="46">
        <v>4.7458754999999995</v>
      </c>
      <c r="C184" s="180">
        <f t="shared" si="11"/>
        <v>3.6272307304824607E-2</v>
      </c>
      <c r="D184" s="46">
        <v>0.81119714999999992</v>
      </c>
      <c r="E184" s="180">
        <f t="shared" si="12"/>
        <v>7.3040644160207533E-3</v>
      </c>
      <c r="F184" s="46">
        <v>1.7596229999999999</v>
      </c>
      <c r="G184" s="180">
        <f t="shared" si="13"/>
        <v>1.564901082721408E-2</v>
      </c>
      <c r="H184" s="180">
        <f t="shared" si="14"/>
        <v>116.91681239264709</v>
      </c>
      <c r="I184" s="532">
        <f t="shared" si="15"/>
        <v>-62.923110814853864</v>
      </c>
      <c r="J184" s="533"/>
      <c r="K184" s="533"/>
      <c r="N184" s="18"/>
      <c r="O184" s="18"/>
      <c r="P184" s="18"/>
      <c r="Q184" s="18"/>
      <c r="R184" s="18"/>
    </row>
    <row r="185" spans="1:18" x14ac:dyDescent="0.25">
      <c r="A185" s="21" t="s">
        <v>817</v>
      </c>
      <c r="B185" s="46">
        <v>1.3717609899999998</v>
      </c>
      <c r="C185" s="180">
        <f t="shared" si="11"/>
        <v>1.0484248096700059E-2</v>
      </c>
      <c r="D185" s="46">
        <v>0.38852853000000009</v>
      </c>
      <c r="E185" s="180">
        <f t="shared" si="12"/>
        <v>3.4983325700563084E-3</v>
      </c>
      <c r="F185" s="46">
        <v>1.74739965</v>
      </c>
      <c r="G185" s="180">
        <f t="shared" si="13"/>
        <v>1.5540303827763158E-2</v>
      </c>
      <c r="H185" s="180">
        <f t="shared" si="14"/>
        <v>349.74809185827348</v>
      </c>
      <c r="I185" s="532">
        <f t="shared" si="15"/>
        <v>27.383681467716926</v>
      </c>
      <c r="J185" s="533"/>
      <c r="K185" s="533"/>
      <c r="N185" s="18"/>
      <c r="O185" s="18"/>
      <c r="P185" s="18"/>
      <c r="Q185" s="18"/>
      <c r="R185" s="18"/>
    </row>
    <row r="186" spans="1:18" x14ac:dyDescent="0.25">
      <c r="A186" s="21" t="s">
        <v>816</v>
      </c>
      <c r="B186" s="46">
        <v>0.57434188000000008</v>
      </c>
      <c r="C186" s="180">
        <f t="shared" si="11"/>
        <v>4.3896442646653303E-3</v>
      </c>
      <c r="D186" s="46">
        <v>1.8247497600000002</v>
      </c>
      <c r="E186" s="180">
        <f t="shared" si="12"/>
        <v>1.6430148688464218E-2</v>
      </c>
      <c r="F186" s="46">
        <v>1.7228323999999999</v>
      </c>
      <c r="G186" s="180">
        <f t="shared" si="13"/>
        <v>1.5321817730886228E-2</v>
      </c>
      <c r="H186" s="180">
        <f t="shared" si="14"/>
        <v>-5.5852787178884311</v>
      </c>
      <c r="I186" s="532">
        <f t="shared" si="15"/>
        <v>199.96635453434104</v>
      </c>
      <c r="J186" s="533"/>
      <c r="K186" s="533"/>
      <c r="N186" s="18"/>
      <c r="O186" s="18"/>
      <c r="P186" s="18"/>
      <c r="Q186" s="18"/>
      <c r="R186" s="18"/>
    </row>
    <row r="187" spans="1:18" x14ac:dyDescent="0.25">
      <c r="A187" s="21" t="s">
        <v>815</v>
      </c>
      <c r="B187" s="46">
        <v>0.84279946000000006</v>
      </c>
      <c r="C187" s="180">
        <f t="shared" si="11"/>
        <v>6.4414418392265528E-3</v>
      </c>
      <c r="D187" s="46">
        <v>0.29510948999999997</v>
      </c>
      <c r="E187" s="180">
        <f t="shared" si="12"/>
        <v>2.6571823196605568E-3</v>
      </c>
      <c r="F187" s="46">
        <v>1.5646354099999999</v>
      </c>
      <c r="G187" s="180">
        <f t="shared" si="13"/>
        <v>1.3914910450552497E-2</v>
      </c>
      <c r="H187" s="180">
        <f t="shared" si="14"/>
        <v>430.18810408299652</v>
      </c>
      <c r="I187" s="532">
        <f t="shared" si="15"/>
        <v>85.647414866639778</v>
      </c>
      <c r="J187" s="533"/>
      <c r="K187" s="533"/>
      <c r="N187" s="18"/>
      <c r="O187" s="18"/>
      <c r="P187" s="18"/>
      <c r="Q187" s="18"/>
      <c r="R187" s="18"/>
    </row>
    <row r="188" spans="1:18" x14ac:dyDescent="0.25">
      <c r="A188" s="21" t="s">
        <v>752</v>
      </c>
      <c r="B188" s="46">
        <v>4.2040009700000001</v>
      </c>
      <c r="C188" s="180">
        <f t="shared" si="11"/>
        <v>3.2130808128789039E-2</v>
      </c>
      <c r="D188" s="46">
        <v>2.6146083200000003</v>
      </c>
      <c r="E188" s="180">
        <f t="shared" si="12"/>
        <v>2.3542079249099689E-2</v>
      </c>
      <c r="F188" s="46">
        <v>1.4610913600000002</v>
      </c>
      <c r="G188" s="180">
        <f t="shared" si="13"/>
        <v>1.2994052994413547E-2</v>
      </c>
      <c r="H188" s="180">
        <f t="shared" si="14"/>
        <v>-44.118155334256713</v>
      </c>
      <c r="I188" s="532">
        <f t="shared" si="15"/>
        <v>-65.245218294990053</v>
      </c>
      <c r="J188" s="533"/>
      <c r="K188" s="533"/>
      <c r="N188" s="18"/>
      <c r="O188" s="18"/>
      <c r="P188" s="18"/>
      <c r="Q188" s="18"/>
      <c r="R188" s="18"/>
    </row>
    <row r="189" spans="1:18" x14ac:dyDescent="0.25">
      <c r="A189" s="21" t="s">
        <v>741</v>
      </c>
      <c r="B189" s="46">
        <v>3.6378238500000002</v>
      </c>
      <c r="C189" s="180">
        <f t="shared" si="11"/>
        <v>2.7803566403716281E-2</v>
      </c>
      <c r="D189" s="46">
        <v>1.89856673</v>
      </c>
      <c r="E189" s="180">
        <f t="shared" si="12"/>
        <v>1.7094800806479515E-2</v>
      </c>
      <c r="F189" s="46">
        <v>1.4031720400000001</v>
      </c>
      <c r="G189" s="180">
        <f t="shared" si="13"/>
        <v>1.2478953984122776E-2</v>
      </c>
      <c r="H189" s="180">
        <f t="shared" si="14"/>
        <v>-26.093088126536379</v>
      </c>
      <c r="I189" s="532">
        <f t="shared" si="15"/>
        <v>-61.428257720615029</v>
      </c>
      <c r="J189" s="533"/>
      <c r="K189" s="533"/>
      <c r="N189" s="18"/>
      <c r="O189" s="18"/>
      <c r="P189" s="18"/>
      <c r="Q189" s="18"/>
      <c r="R189" s="18"/>
    </row>
    <row r="190" spans="1:18" x14ac:dyDescent="0.25">
      <c r="A190" s="21" t="s">
        <v>814</v>
      </c>
      <c r="B190" s="46">
        <v>0.15292603000000002</v>
      </c>
      <c r="C190" s="180">
        <f t="shared" si="11"/>
        <v>1.1688001413157232E-3</v>
      </c>
      <c r="D190" s="46">
        <v>0.34641766000000002</v>
      </c>
      <c r="E190" s="180">
        <f t="shared" si="12"/>
        <v>3.1191639461346436E-3</v>
      </c>
      <c r="F190" s="46">
        <v>1.3713164</v>
      </c>
      <c r="G190" s="180">
        <f t="shared" si="13"/>
        <v>1.2195649403955412E-2</v>
      </c>
      <c r="H190" s="180">
        <f t="shared" si="14"/>
        <v>295.85637752994461</v>
      </c>
      <c r="I190" s="532">
        <f t="shared" si="15"/>
        <v>796.71876004366277</v>
      </c>
      <c r="J190" s="533"/>
      <c r="K190" s="533"/>
      <c r="N190" s="18"/>
      <c r="O190" s="18"/>
      <c r="P190" s="18"/>
      <c r="Q190" s="18"/>
      <c r="R190" s="18"/>
    </row>
    <row r="191" spans="1:18" x14ac:dyDescent="0.25">
      <c r="A191" s="21" t="s">
        <v>813</v>
      </c>
      <c r="B191" s="46">
        <v>1.51140202</v>
      </c>
      <c r="C191" s="180">
        <f t="shared" si="11"/>
        <v>1.1551512156307656E-2</v>
      </c>
      <c r="D191" s="46">
        <v>6.3010497499999998</v>
      </c>
      <c r="E191" s="180">
        <f t="shared" si="12"/>
        <v>5.6735003645601412E-2</v>
      </c>
      <c r="F191" s="46">
        <v>1.33328797</v>
      </c>
      <c r="G191" s="180">
        <f t="shared" si="13"/>
        <v>1.1857447804628765E-2</v>
      </c>
      <c r="H191" s="180">
        <f t="shared" si="14"/>
        <v>-78.840224678435519</v>
      </c>
      <c r="I191" s="532">
        <f t="shared" si="15"/>
        <v>-11.784690482284788</v>
      </c>
      <c r="J191" s="533"/>
      <c r="K191" s="533"/>
      <c r="N191" s="18"/>
      <c r="O191" s="18"/>
      <c r="P191" s="18"/>
      <c r="Q191" s="18"/>
      <c r="R191" s="18"/>
    </row>
    <row r="192" spans="1:18" x14ac:dyDescent="0.25">
      <c r="A192" s="21" t="s">
        <v>812</v>
      </c>
      <c r="B192" s="46">
        <v>5.7267575199999996</v>
      </c>
      <c r="C192" s="180">
        <f t="shared" si="11"/>
        <v>4.3769101955088215E-2</v>
      </c>
      <c r="D192" s="46">
        <v>7.3356431500000019</v>
      </c>
      <c r="E192" s="180">
        <f t="shared" si="12"/>
        <v>6.6050540365608298E-2</v>
      </c>
      <c r="F192" s="46">
        <v>1.3287006800000003</v>
      </c>
      <c r="G192" s="180">
        <f t="shared" si="13"/>
        <v>1.1816651252823312E-2</v>
      </c>
      <c r="H192" s="180">
        <f t="shared" si="14"/>
        <v>-81.887059487074424</v>
      </c>
      <c r="I192" s="532">
        <f t="shared" si="15"/>
        <v>-76.798377173126752</v>
      </c>
      <c r="J192" s="533"/>
      <c r="K192" s="533"/>
      <c r="N192" s="18"/>
      <c r="O192" s="18"/>
      <c r="P192" s="18"/>
      <c r="Q192" s="18"/>
      <c r="R192" s="18"/>
    </row>
    <row r="193" spans="1:18" x14ac:dyDescent="0.25">
      <c r="A193" s="21" t="s">
        <v>811</v>
      </c>
      <c r="B193" s="46">
        <v>0.31493125</v>
      </c>
      <c r="C193" s="180">
        <f t="shared" si="11"/>
        <v>2.4069917299542614E-3</v>
      </c>
      <c r="D193" s="46">
        <v>1.0865896199999998</v>
      </c>
      <c r="E193" s="180">
        <f t="shared" si="12"/>
        <v>9.7837135870848559E-3</v>
      </c>
      <c r="F193" s="46">
        <v>1.26937597</v>
      </c>
      <c r="G193" s="180">
        <f t="shared" si="13"/>
        <v>1.1289053563368616E-2</v>
      </c>
      <c r="H193" s="180">
        <f t="shared" si="14"/>
        <v>16.822022466954945</v>
      </c>
      <c r="I193" s="532">
        <f t="shared" si="15"/>
        <v>303.06446883248333</v>
      </c>
      <c r="J193" s="533"/>
      <c r="K193" s="533"/>
      <c r="N193" s="18"/>
      <c r="O193" s="18"/>
      <c r="P193" s="18"/>
      <c r="Q193" s="18"/>
      <c r="R193" s="18"/>
    </row>
    <row r="194" spans="1:18" x14ac:dyDescent="0.25">
      <c r="A194" s="21" t="s">
        <v>810</v>
      </c>
      <c r="B194" s="46">
        <v>0.7000302599999999</v>
      </c>
      <c r="C194" s="180">
        <f t="shared" si="11"/>
        <v>5.3502694525796703E-3</v>
      </c>
      <c r="D194" s="46">
        <v>0.41652017999999996</v>
      </c>
      <c r="E194" s="180">
        <f t="shared" si="12"/>
        <v>3.750370949025843E-3</v>
      </c>
      <c r="F194" s="46">
        <v>1.2163305899999999</v>
      </c>
      <c r="G194" s="180">
        <f t="shared" si="13"/>
        <v>1.081730039467641E-2</v>
      </c>
      <c r="H194" s="180">
        <f t="shared" si="14"/>
        <v>192.02200719302485</v>
      </c>
      <c r="I194" s="532">
        <f t="shared" si="15"/>
        <v>73.754001719868526</v>
      </c>
      <c r="J194" s="533"/>
      <c r="K194" s="533"/>
      <c r="N194" s="18"/>
      <c r="O194" s="18"/>
      <c r="P194" s="18"/>
      <c r="Q194" s="18"/>
      <c r="R194" s="18"/>
    </row>
    <row r="195" spans="1:18" x14ac:dyDescent="0.25">
      <c r="A195" s="21" t="s">
        <v>737</v>
      </c>
      <c r="B195" s="46">
        <v>3.6937879200000001</v>
      </c>
      <c r="C195" s="180">
        <f t="shared" si="11"/>
        <v>2.8231294848145284E-2</v>
      </c>
      <c r="D195" s="46">
        <v>4.8596418299999993</v>
      </c>
      <c r="E195" s="180">
        <f t="shared" si="12"/>
        <v>4.3756486280935501E-2</v>
      </c>
      <c r="F195" s="46">
        <v>1.0673286100000001</v>
      </c>
      <c r="G195" s="180">
        <f t="shared" si="13"/>
        <v>9.4921679098791938E-3</v>
      </c>
      <c r="H195" s="180">
        <f t="shared" si="14"/>
        <v>-78.036887339905036</v>
      </c>
      <c r="I195" s="532">
        <f t="shared" si="15"/>
        <v>-71.104767433426446</v>
      </c>
      <c r="J195" s="533"/>
      <c r="K195" s="533"/>
      <c r="N195" s="18"/>
      <c r="O195" s="18"/>
      <c r="P195" s="18"/>
      <c r="Q195" s="18"/>
      <c r="R195" s="18"/>
    </row>
    <row r="196" spans="1:18" x14ac:dyDescent="0.25">
      <c r="A196" s="21" t="s">
        <v>809</v>
      </c>
      <c r="B196" s="46"/>
      <c r="C196" s="180">
        <f t="shared" ref="C196:C258" si="16">(B196/$B$259)*100</f>
        <v>0</v>
      </c>
      <c r="D196" s="46"/>
      <c r="E196" s="180">
        <f t="shared" ref="E196:E258" si="17">(D196/$D$259)*100</f>
        <v>0</v>
      </c>
      <c r="F196" s="46">
        <v>1.01741134</v>
      </c>
      <c r="G196" s="180">
        <f t="shared" ref="G196:G258" si="18">(F196/$F$259)*100</f>
        <v>9.0482342384649358E-3</v>
      </c>
      <c r="H196" s="180" t="s">
        <v>240</v>
      </c>
      <c r="I196" s="532" t="s">
        <v>240</v>
      </c>
      <c r="J196" s="533"/>
      <c r="K196" s="533"/>
      <c r="N196" s="18"/>
      <c r="O196" s="18"/>
      <c r="P196" s="18"/>
      <c r="Q196" s="18"/>
      <c r="R196" s="18"/>
    </row>
    <row r="197" spans="1:18" x14ac:dyDescent="0.25">
      <c r="A197" s="21" t="s">
        <v>808</v>
      </c>
      <c r="B197" s="46">
        <v>0.85941259999999997</v>
      </c>
      <c r="C197" s="180">
        <f t="shared" si="16"/>
        <v>6.5684146010232067E-3</v>
      </c>
      <c r="D197" s="46">
        <v>1.4145664600000001</v>
      </c>
      <c r="E197" s="180">
        <f t="shared" si="17"/>
        <v>1.2736835360654862E-2</v>
      </c>
      <c r="F197" s="46">
        <v>0.99693986000000001</v>
      </c>
      <c r="G197" s="180">
        <f t="shared" si="18"/>
        <v>8.8661734151129473E-3</v>
      </c>
      <c r="H197" s="180">
        <f t="shared" ref="H197:H256" si="19">((F197/D197)-1)*100</f>
        <v>-29.52329295295182</v>
      </c>
      <c r="I197" s="532">
        <f t="shared" ref="I197:I258" si="20">((F197/B197)-1)*100</f>
        <v>16.002471920937623</v>
      </c>
      <c r="J197" s="533"/>
      <c r="K197" s="533"/>
      <c r="N197" s="18"/>
      <c r="O197" s="18"/>
      <c r="P197" s="18"/>
      <c r="Q197" s="18"/>
      <c r="R197" s="18"/>
    </row>
    <row r="198" spans="1:18" x14ac:dyDescent="0.25">
      <c r="A198" s="21" t="s">
        <v>807</v>
      </c>
      <c r="B198" s="46">
        <v>1.5716590599999998</v>
      </c>
      <c r="C198" s="180">
        <f t="shared" si="16"/>
        <v>1.2012051391304254E-2</v>
      </c>
      <c r="D198" s="46">
        <v>0.6695253400000003</v>
      </c>
      <c r="E198" s="180">
        <f t="shared" si="17"/>
        <v>6.0284435312897731E-3</v>
      </c>
      <c r="F198" s="46">
        <v>0.9629422700000001</v>
      </c>
      <c r="G198" s="180">
        <f t="shared" si="18"/>
        <v>8.5638196416005629E-3</v>
      </c>
      <c r="H198" s="180">
        <f t="shared" si="19"/>
        <v>43.824619095074091</v>
      </c>
      <c r="I198" s="532">
        <f t="shared" si="20"/>
        <v>-38.730842171329435</v>
      </c>
      <c r="J198" s="533"/>
      <c r="K198" s="533"/>
      <c r="N198" s="18"/>
      <c r="O198" s="18"/>
      <c r="P198" s="18"/>
      <c r="Q198" s="18"/>
      <c r="R198" s="18"/>
    </row>
    <row r="199" spans="1:18" x14ac:dyDescent="0.25">
      <c r="A199" s="21" t="s">
        <v>761</v>
      </c>
      <c r="B199" s="46">
        <v>1.6227150899999998</v>
      </c>
      <c r="C199" s="180">
        <f t="shared" si="16"/>
        <v>1.240226811947682E-2</v>
      </c>
      <c r="D199" s="46">
        <v>0.68886263999999997</v>
      </c>
      <c r="E199" s="180">
        <f t="shared" si="17"/>
        <v>6.2025576598119395E-3</v>
      </c>
      <c r="F199" s="46">
        <v>0.91351096000000009</v>
      </c>
      <c r="G199" s="180">
        <f t="shared" si="18"/>
        <v>8.1242078012271554E-3</v>
      </c>
      <c r="H199" s="180">
        <f t="shared" si="19"/>
        <v>32.611482602685513</v>
      </c>
      <c r="I199" s="532">
        <f t="shared" si="20"/>
        <v>-43.704784306898873</v>
      </c>
      <c r="J199" s="533"/>
      <c r="K199" s="533"/>
      <c r="N199" s="18"/>
      <c r="O199" s="18"/>
      <c r="P199" s="18"/>
      <c r="Q199" s="18"/>
      <c r="R199" s="18"/>
    </row>
    <row r="200" spans="1:18" x14ac:dyDescent="0.25">
      <c r="A200" s="21" t="s">
        <v>806</v>
      </c>
      <c r="B200" s="46">
        <v>1.6390572300000001</v>
      </c>
      <c r="C200" s="180">
        <f t="shared" si="16"/>
        <v>1.2527169652207395E-2</v>
      </c>
      <c r="D200" s="46">
        <v>1.2236559399999998</v>
      </c>
      <c r="E200" s="180">
        <f t="shared" si="17"/>
        <v>1.101786638279785E-2</v>
      </c>
      <c r="F200" s="46">
        <v>0.87990761000000006</v>
      </c>
      <c r="G200" s="180">
        <f t="shared" si="18"/>
        <v>7.8253601571689306E-3</v>
      </c>
      <c r="H200" s="180">
        <f t="shared" si="19"/>
        <v>-28.091910378010322</v>
      </c>
      <c r="I200" s="532">
        <f t="shared" si="20"/>
        <v>-46.316236315921685</v>
      </c>
      <c r="J200" s="533"/>
      <c r="K200" s="533"/>
      <c r="N200" s="18"/>
      <c r="O200" s="18"/>
      <c r="P200" s="18"/>
      <c r="Q200" s="18"/>
      <c r="R200" s="18"/>
    </row>
    <row r="201" spans="1:18" x14ac:dyDescent="0.25">
      <c r="A201" s="21" t="s">
        <v>805</v>
      </c>
      <c r="B201" s="46">
        <v>0.86407073000000012</v>
      </c>
      <c r="C201" s="180">
        <f t="shared" si="16"/>
        <v>6.6040162772209553E-3</v>
      </c>
      <c r="D201" s="46">
        <v>0.85536024999999982</v>
      </c>
      <c r="E201" s="180">
        <f t="shared" si="17"/>
        <v>7.7017114334087785E-3</v>
      </c>
      <c r="F201" s="46">
        <v>0.84739304999999998</v>
      </c>
      <c r="G201" s="180">
        <f t="shared" si="18"/>
        <v>7.5361955454980771E-3</v>
      </c>
      <c r="H201" s="180">
        <f t="shared" si="19"/>
        <v>-0.93144379809557698</v>
      </c>
      <c r="I201" s="532">
        <f t="shared" si="20"/>
        <v>-1.9301290300621776</v>
      </c>
      <c r="J201" s="533"/>
      <c r="K201" s="533"/>
      <c r="N201" s="18"/>
      <c r="O201" s="18"/>
      <c r="P201" s="18"/>
      <c r="Q201" s="18"/>
      <c r="R201" s="18"/>
    </row>
    <row r="202" spans="1:18" x14ac:dyDescent="0.25">
      <c r="A202" s="21" t="s">
        <v>804</v>
      </c>
      <c r="B202" s="46">
        <v>1.1063608599999999</v>
      </c>
      <c r="C202" s="180">
        <f t="shared" si="16"/>
        <v>8.4558183424638996E-3</v>
      </c>
      <c r="D202" s="46">
        <v>0.37417716999999995</v>
      </c>
      <c r="E202" s="180">
        <f t="shared" si="17"/>
        <v>3.3691121235871553E-3</v>
      </c>
      <c r="F202" s="46">
        <v>0.83366202</v>
      </c>
      <c r="G202" s="180">
        <f t="shared" si="18"/>
        <v>7.4140801621808547E-3</v>
      </c>
      <c r="H202" s="180">
        <f t="shared" si="19"/>
        <v>122.79873996588302</v>
      </c>
      <c r="I202" s="532">
        <f t="shared" si="20"/>
        <v>-24.648272535599268</v>
      </c>
      <c r="J202" s="533"/>
      <c r="K202" s="533"/>
      <c r="N202" s="18"/>
      <c r="O202" s="18"/>
      <c r="P202" s="18"/>
      <c r="Q202" s="18"/>
      <c r="R202" s="18"/>
    </row>
    <row r="203" spans="1:18" x14ac:dyDescent="0.25">
      <c r="A203" s="21" t="s">
        <v>758</v>
      </c>
      <c r="B203" s="46">
        <v>1.0276219900000003</v>
      </c>
      <c r="C203" s="180">
        <f t="shared" si="16"/>
        <v>7.8540241130378181E-3</v>
      </c>
      <c r="D203" s="46">
        <v>1.07938716</v>
      </c>
      <c r="E203" s="180">
        <f t="shared" si="17"/>
        <v>9.7188622352355411E-3</v>
      </c>
      <c r="F203" s="46">
        <v>0.83317215999999983</v>
      </c>
      <c r="G203" s="180">
        <f t="shared" si="18"/>
        <v>7.4097236469251307E-3</v>
      </c>
      <c r="H203" s="180">
        <f t="shared" si="19"/>
        <v>-22.810628949857083</v>
      </c>
      <c r="I203" s="532">
        <f t="shared" si="20"/>
        <v>-18.92231111169589</v>
      </c>
      <c r="J203" s="533"/>
      <c r="K203" s="533"/>
      <c r="N203" s="18"/>
      <c r="O203" s="18"/>
      <c r="P203" s="18"/>
      <c r="Q203" s="18"/>
      <c r="R203" s="18"/>
    </row>
    <row r="204" spans="1:18" x14ac:dyDescent="0.25">
      <c r="A204" s="21" t="s">
        <v>800</v>
      </c>
      <c r="B204" s="46">
        <v>1.6285591499999998</v>
      </c>
      <c r="C204" s="180">
        <f t="shared" si="16"/>
        <v>1.2446933753926741E-2</v>
      </c>
      <c r="D204" s="46">
        <v>1.1989963000000001</v>
      </c>
      <c r="E204" s="180">
        <f t="shared" si="17"/>
        <v>1.0795829607846313E-2</v>
      </c>
      <c r="F204" s="46">
        <v>0.82355121999999992</v>
      </c>
      <c r="G204" s="180">
        <f t="shared" si="18"/>
        <v>7.3241608904551512E-3</v>
      </c>
      <c r="H204" s="180">
        <f t="shared" si="19"/>
        <v>-31.313280950074674</v>
      </c>
      <c r="I204" s="532">
        <f t="shared" si="20"/>
        <v>-49.430684172570579</v>
      </c>
      <c r="J204" s="533"/>
      <c r="K204" s="533"/>
      <c r="N204" s="18"/>
      <c r="O204" s="18"/>
      <c r="P204" s="18"/>
      <c r="Q204" s="18"/>
      <c r="R204" s="18"/>
    </row>
    <row r="205" spans="1:18" x14ac:dyDescent="0.25">
      <c r="A205" s="21" t="s">
        <v>802</v>
      </c>
      <c r="B205" s="46">
        <v>0.83099053000000023</v>
      </c>
      <c r="C205" s="180">
        <f t="shared" si="16"/>
        <v>6.3511872301662961E-3</v>
      </c>
      <c r="D205" s="46">
        <v>0.99093125000000004</v>
      </c>
      <c r="E205" s="180">
        <f t="shared" si="17"/>
        <v>8.9224002843796574E-3</v>
      </c>
      <c r="F205" s="46">
        <v>0.81636395999999989</v>
      </c>
      <c r="G205" s="180">
        <f t="shared" si="18"/>
        <v>7.2602417955365218E-3</v>
      </c>
      <c r="H205" s="180">
        <f t="shared" si="19"/>
        <v>-17.616488530359721</v>
      </c>
      <c r="I205" s="532">
        <f t="shared" si="20"/>
        <v>-1.7601367851930116</v>
      </c>
      <c r="J205" s="533"/>
      <c r="K205" s="533"/>
      <c r="N205" s="18"/>
      <c r="O205" s="18"/>
      <c r="P205" s="18"/>
      <c r="Q205" s="18"/>
      <c r="R205" s="18"/>
    </row>
    <row r="206" spans="1:18" x14ac:dyDescent="0.25">
      <c r="A206" s="21" t="s">
        <v>803</v>
      </c>
      <c r="B206" s="46">
        <v>0.77837574999999992</v>
      </c>
      <c r="C206" s="180">
        <f t="shared" si="16"/>
        <v>5.9490571134079122E-3</v>
      </c>
      <c r="D206" s="46">
        <v>0.46026701000000003</v>
      </c>
      <c r="E206" s="180">
        <f t="shared" si="17"/>
        <v>4.1442698480995263E-3</v>
      </c>
      <c r="F206" s="46">
        <v>0.7998153899999999</v>
      </c>
      <c r="G206" s="180">
        <f t="shared" si="18"/>
        <v>7.1130689345856755E-3</v>
      </c>
      <c r="H206" s="180">
        <f t="shared" si="19"/>
        <v>73.772043753472545</v>
      </c>
      <c r="I206" s="532">
        <f t="shared" si="20"/>
        <v>2.7544074953516962</v>
      </c>
      <c r="J206" s="533"/>
      <c r="K206" s="533"/>
      <c r="N206" s="18"/>
      <c r="O206" s="18"/>
      <c r="P206" s="18"/>
      <c r="Q206" s="18"/>
      <c r="R206" s="18"/>
    </row>
    <row r="207" spans="1:18" x14ac:dyDescent="0.25">
      <c r="A207" s="21" t="s">
        <v>791</v>
      </c>
      <c r="B207" s="46">
        <v>0.60681594999999999</v>
      </c>
      <c r="C207" s="180">
        <f t="shared" si="16"/>
        <v>4.6378407136615967E-3</v>
      </c>
      <c r="D207" s="46">
        <v>0.37239248000000003</v>
      </c>
      <c r="E207" s="180">
        <f t="shared" si="17"/>
        <v>3.3530426752136897E-3</v>
      </c>
      <c r="F207" s="46">
        <v>0.77373914999999993</v>
      </c>
      <c r="G207" s="180">
        <f t="shared" si="18"/>
        <v>6.8811628035036019E-3</v>
      </c>
      <c r="H207" s="180">
        <f t="shared" si="19"/>
        <v>107.77518117444261</v>
      </c>
      <c r="I207" s="532">
        <f t="shared" si="20"/>
        <v>27.508044243069072</v>
      </c>
      <c r="J207" s="533"/>
      <c r="K207" s="533"/>
      <c r="N207" s="18"/>
      <c r="O207" s="18"/>
      <c r="P207" s="18"/>
      <c r="Q207" s="18"/>
      <c r="R207" s="18"/>
    </row>
    <row r="208" spans="1:18" x14ac:dyDescent="0.25">
      <c r="A208" s="21" t="s">
        <v>786</v>
      </c>
      <c r="B208" s="46">
        <v>2.6784219399999998</v>
      </c>
      <c r="C208" s="180">
        <f t="shared" si="16"/>
        <v>2.047094233712294E-2</v>
      </c>
      <c r="D208" s="46">
        <v>2.2732380999999999</v>
      </c>
      <c r="E208" s="180">
        <f t="shared" si="17"/>
        <v>2.0468362734450716E-2</v>
      </c>
      <c r="F208" s="46">
        <v>0.77286355000000007</v>
      </c>
      <c r="G208" s="180">
        <f t="shared" si="18"/>
        <v>6.8733757525953638E-3</v>
      </c>
      <c r="H208" s="180">
        <f t="shared" si="19"/>
        <v>-66.001645406171932</v>
      </c>
      <c r="I208" s="532">
        <f t="shared" si="20"/>
        <v>-71.144817085839733</v>
      </c>
      <c r="J208" s="533"/>
      <c r="K208" s="533"/>
      <c r="N208" s="18"/>
      <c r="O208" s="18"/>
      <c r="P208" s="18"/>
      <c r="Q208" s="18"/>
      <c r="R208" s="18"/>
    </row>
    <row r="209" spans="1:18" x14ac:dyDescent="0.25">
      <c r="A209" s="21" t="s">
        <v>801</v>
      </c>
      <c r="B209" s="46">
        <v>0.21742797000000003</v>
      </c>
      <c r="C209" s="180">
        <f t="shared" si="16"/>
        <v>1.6617827721153214E-3</v>
      </c>
      <c r="D209" s="46">
        <v>6.5754911799999993</v>
      </c>
      <c r="E209" s="180">
        <f t="shared" si="17"/>
        <v>5.9206089599422675E-2</v>
      </c>
      <c r="F209" s="46">
        <v>0.62017486999999993</v>
      </c>
      <c r="G209" s="180">
        <f t="shared" si="18"/>
        <v>5.5154560126777627E-3</v>
      </c>
      <c r="H209" s="180">
        <f t="shared" si="19"/>
        <v>-90.568387166477805</v>
      </c>
      <c r="I209" s="532">
        <f t="shared" si="20"/>
        <v>185.23233234436205</v>
      </c>
      <c r="J209" s="533"/>
      <c r="K209" s="533"/>
      <c r="N209" s="18"/>
      <c r="O209" s="18"/>
      <c r="P209" s="18"/>
      <c r="Q209" s="18"/>
      <c r="R209" s="18"/>
    </row>
    <row r="210" spans="1:18" x14ac:dyDescent="0.25">
      <c r="A210" s="21" t="s">
        <v>751</v>
      </c>
      <c r="B210" s="46">
        <v>0.77036338999999998</v>
      </c>
      <c r="C210" s="180">
        <f t="shared" si="16"/>
        <v>5.8878193535558303E-3</v>
      </c>
      <c r="D210" s="46">
        <v>0.48038794000000001</v>
      </c>
      <c r="E210" s="180">
        <f t="shared" si="17"/>
        <v>4.3254398248804412E-3</v>
      </c>
      <c r="F210" s="46">
        <v>0.60959560999999995</v>
      </c>
      <c r="G210" s="180">
        <f t="shared" si="18"/>
        <v>5.4213705442087146E-3</v>
      </c>
      <c r="H210" s="180">
        <f t="shared" si="19"/>
        <v>26.896526586408463</v>
      </c>
      <c r="I210" s="532">
        <f t="shared" si="20"/>
        <v>-20.869083615201401</v>
      </c>
      <c r="J210" s="533"/>
      <c r="K210" s="533"/>
      <c r="N210" s="18"/>
      <c r="O210" s="18"/>
      <c r="P210" s="18"/>
      <c r="Q210" s="18"/>
      <c r="R210" s="18"/>
    </row>
    <row r="211" spans="1:18" x14ac:dyDescent="0.25">
      <c r="A211" s="21" t="s">
        <v>799</v>
      </c>
      <c r="B211" s="46">
        <v>0.53194644999999996</v>
      </c>
      <c r="C211" s="180">
        <f t="shared" si="16"/>
        <v>4.0656197374142073E-3</v>
      </c>
      <c r="D211" s="46">
        <v>0.97813422999999988</v>
      </c>
      <c r="E211" s="180">
        <f t="shared" si="17"/>
        <v>8.8071752020268557E-3</v>
      </c>
      <c r="F211" s="46">
        <v>0.56868225000000006</v>
      </c>
      <c r="G211" s="180">
        <f t="shared" si="18"/>
        <v>5.0575121418022298E-3</v>
      </c>
      <c r="H211" s="180">
        <f t="shared" si="19"/>
        <v>-41.860510290085628</v>
      </c>
      <c r="I211" s="532">
        <f t="shared" si="20"/>
        <v>6.9059206993486111</v>
      </c>
      <c r="J211" s="533"/>
      <c r="K211" s="533"/>
      <c r="N211" s="18"/>
      <c r="O211" s="18"/>
      <c r="P211" s="18"/>
      <c r="Q211" s="18"/>
      <c r="R211" s="18"/>
    </row>
    <row r="212" spans="1:18" x14ac:dyDescent="0.25">
      <c r="A212" s="21" t="s">
        <v>766</v>
      </c>
      <c r="B212" s="46">
        <v>1.10056106</v>
      </c>
      <c r="C212" s="180">
        <f t="shared" si="16"/>
        <v>8.4114909832850686E-3</v>
      </c>
      <c r="D212" s="46">
        <v>0.67558837999999999</v>
      </c>
      <c r="E212" s="180">
        <f t="shared" si="17"/>
        <v>6.0830354818617238E-3</v>
      </c>
      <c r="F212" s="46">
        <v>0.55923712000000003</v>
      </c>
      <c r="G212" s="180">
        <f t="shared" si="18"/>
        <v>4.9735129319519126E-3</v>
      </c>
      <c r="H212" s="180">
        <f t="shared" si="19"/>
        <v>-17.222211548398736</v>
      </c>
      <c r="I212" s="532">
        <f t="shared" si="20"/>
        <v>-49.186179638229241</v>
      </c>
      <c r="J212" s="533"/>
      <c r="K212" s="533"/>
      <c r="N212" s="18"/>
      <c r="O212" s="18"/>
      <c r="P212" s="18"/>
      <c r="Q212" s="18"/>
      <c r="R212" s="18"/>
    </row>
    <row r="213" spans="1:18" x14ac:dyDescent="0.25">
      <c r="A213" s="21" t="s">
        <v>798</v>
      </c>
      <c r="B213" s="46">
        <v>3.4959001600000001</v>
      </c>
      <c r="C213" s="180">
        <f t="shared" si="16"/>
        <v>2.6718856175326457E-2</v>
      </c>
      <c r="D213" s="46">
        <v>3.1501632499999994</v>
      </c>
      <c r="E213" s="180">
        <f t="shared" si="17"/>
        <v>2.83642457311164E-2</v>
      </c>
      <c r="F213" s="46">
        <v>0.54296117999999993</v>
      </c>
      <c r="G213" s="180">
        <f t="shared" si="18"/>
        <v>4.8287646754884041E-3</v>
      </c>
      <c r="H213" s="180">
        <f t="shared" si="19"/>
        <v>-82.764030403821138</v>
      </c>
      <c r="I213" s="532">
        <f t="shared" si="20"/>
        <v>-84.468630248296336</v>
      </c>
      <c r="J213" s="533"/>
      <c r="K213" s="533"/>
      <c r="N213" s="18"/>
      <c r="O213" s="18"/>
      <c r="P213" s="18"/>
      <c r="Q213" s="18"/>
      <c r="R213" s="18"/>
    </row>
    <row r="214" spans="1:18" x14ac:dyDescent="0.25">
      <c r="A214" s="21" t="s">
        <v>797</v>
      </c>
      <c r="B214" s="46">
        <v>0.94977546000000002</v>
      </c>
      <c r="C214" s="180">
        <f t="shared" si="16"/>
        <v>7.2590499594229049E-3</v>
      </c>
      <c r="D214" s="46">
        <v>0.51102126000000003</v>
      </c>
      <c r="E214" s="180">
        <f t="shared" si="17"/>
        <v>4.6012639479762595E-3</v>
      </c>
      <c r="F214" s="46">
        <v>0.48920808999999998</v>
      </c>
      <c r="G214" s="180">
        <f t="shared" si="18"/>
        <v>4.3507175668712674E-3</v>
      </c>
      <c r="H214" s="180">
        <f t="shared" si="19"/>
        <v>-4.2685445220028706</v>
      </c>
      <c r="I214" s="532">
        <f t="shared" si="20"/>
        <v>-48.492237312595975</v>
      </c>
      <c r="J214" s="533"/>
      <c r="K214" s="533"/>
      <c r="N214" s="18"/>
      <c r="O214" s="18"/>
      <c r="P214" s="18"/>
      <c r="Q214" s="18"/>
      <c r="R214" s="18"/>
    </row>
    <row r="215" spans="1:18" x14ac:dyDescent="0.25">
      <c r="A215" s="21" t="s">
        <v>795</v>
      </c>
      <c r="B215" s="46">
        <v>0.19418587000000001</v>
      </c>
      <c r="C215" s="180">
        <f t="shared" si="16"/>
        <v>1.484145454488792E-3</v>
      </c>
      <c r="D215" s="46">
        <v>1.9329486199999999</v>
      </c>
      <c r="E215" s="180">
        <f t="shared" si="17"/>
        <v>1.7404377263083855E-2</v>
      </c>
      <c r="F215" s="46">
        <v>0.47451040999999994</v>
      </c>
      <c r="G215" s="180">
        <f t="shared" si="18"/>
        <v>4.220005389629365E-3</v>
      </c>
      <c r="H215" s="180">
        <f t="shared" si="19"/>
        <v>-75.451473200565459</v>
      </c>
      <c r="I215" s="532">
        <f t="shared" si="20"/>
        <v>144.35887636932588</v>
      </c>
      <c r="J215" s="533"/>
      <c r="K215" s="533"/>
      <c r="N215" s="18"/>
      <c r="O215" s="18"/>
      <c r="P215" s="18"/>
      <c r="Q215" s="18"/>
      <c r="R215" s="18"/>
    </row>
    <row r="216" spans="1:18" x14ac:dyDescent="0.25">
      <c r="A216" s="21" t="s">
        <v>794</v>
      </c>
      <c r="B216" s="46">
        <v>0.82341693999999999</v>
      </c>
      <c r="C216" s="180">
        <f t="shared" si="16"/>
        <v>6.2933029506733427E-3</v>
      </c>
      <c r="D216" s="46">
        <v>5.4907514399999995</v>
      </c>
      <c r="E216" s="180">
        <f t="shared" si="17"/>
        <v>4.9439032435109907E-2</v>
      </c>
      <c r="F216" s="46">
        <v>0.46767651999999998</v>
      </c>
      <c r="G216" s="180">
        <f t="shared" si="18"/>
        <v>4.1592289513798135E-3</v>
      </c>
      <c r="H216" s="180">
        <f t="shared" si="19"/>
        <v>-91.482467835040083</v>
      </c>
      <c r="I216" s="532">
        <f t="shared" si="20"/>
        <v>-43.202951350502936</v>
      </c>
      <c r="J216" s="533"/>
      <c r="K216" s="533"/>
      <c r="N216" s="18"/>
      <c r="O216" s="18"/>
      <c r="P216" s="18"/>
      <c r="Q216" s="18"/>
      <c r="R216" s="18"/>
    </row>
    <row r="217" spans="1:18" x14ac:dyDescent="0.25">
      <c r="A217" s="21" t="s">
        <v>765</v>
      </c>
      <c r="B217" s="46">
        <v>3.4272967300000001</v>
      </c>
      <c r="C217" s="180">
        <f t="shared" si="16"/>
        <v>2.6194526218688313E-2</v>
      </c>
      <c r="D217" s="46">
        <v>58.736776300000002</v>
      </c>
      <c r="E217" s="180">
        <f t="shared" si="17"/>
        <v>0.52886921223108496</v>
      </c>
      <c r="F217" s="46">
        <v>0.41818922000000003</v>
      </c>
      <c r="G217" s="180">
        <f t="shared" si="18"/>
        <v>3.71911917018828E-3</v>
      </c>
      <c r="H217" s="180">
        <f t="shared" si="19"/>
        <v>-99.288028308084037</v>
      </c>
      <c r="I217" s="532">
        <f t="shared" si="20"/>
        <v>-87.79827797402298</v>
      </c>
      <c r="J217" s="533"/>
      <c r="K217" s="533"/>
      <c r="N217" s="18"/>
      <c r="O217" s="18"/>
      <c r="P217" s="18"/>
      <c r="Q217" s="18"/>
      <c r="R217" s="18"/>
    </row>
    <row r="218" spans="1:18" x14ac:dyDescent="0.25">
      <c r="A218" s="21" t="s">
        <v>753</v>
      </c>
      <c r="B218" s="46">
        <v>0.18135645999999997</v>
      </c>
      <c r="C218" s="180">
        <f t="shared" si="16"/>
        <v>1.3860914069143051E-3</v>
      </c>
      <c r="D218" s="46">
        <v>0.42523022999999999</v>
      </c>
      <c r="E218" s="180">
        <f t="shared" si="17"/>
        <v>3.8287967253821356E-3</v>
      </c>
      <c r="F218" s="46">
        <v>0.34485167</v>
      </c>
      <c r="G218" s="180">
        <f t="shared" si="18"/>
        <v>3.066899851623249E-3</v>
      </c>
      <c r="H218" s="180">
        <f t="shared" si="19"/>
        <v>-18.902362609544475</v>
      </c>
      <c r="I218" s="532">
        <f t="shared" si="20"/>
        <v>90.151302026958419</v>
      </c>
      <c r="J218" s="533"/>
      <c r="K218" s="533"/>
      <c r="N218" s="18"/>
      <c r="O218" s="18"/>
      <c r="P218" s="18"/>
      <c r="Q218" s="18"/>
      <c r="R218" s="18"/>
    </row>
    <row r="219" spans="1:18" x14ac:dyDescent="0.25">
      <c r="A219" s="21" t="s">
        <v>735</v>
      </c>
      <c r="B219" s="46">
        <v>0.24897570999999999</v>
      </c>
      <c r="C219" s="180">
        <f t="shared" si="16"/>
        <v>1.9028993627323123E-3</v>
      </c>
      <c r="D219" s="46">
        <v>2.998582E-2</v>
      </c>
      <c r="E219" s="180">
        <f t="shared" si="17"/>
        <v>2.6999399695524503E-4</v>
      </c>
      <c r="F219" s="46">
        <v>0.31996438000000005</v>
      </c>
      <c r="G219" s="180">
        <f t="shared" si="18"/>
        <v>2.8455675147135728E-3</v>
      </c>
      <c r="H219" s="180">
        <f t="shared" si="19"/>
        <v>967.05229338400636</v>
      </c>
      <c r="I219" s="532">
        <f t="shared" si="20"/>
        <v>28.512287403457968</v>
      </c>
      <c r="J219" s="533"/>
      <c r="K219" s="533"/>
      <c r="N219" s="18"/>
      <c r="O219" s="18"/>
      <c r="P219" s="18"/>
      <c r="Q219" s="18"/>
      <c r="R219" s="18"/>
    </row>
    <row r="220" spans="1:18" x14ac:dyDescent="0.25">
      <c r="A220" s="21" t="s">
        <v>793</v>
      </c>
      <c r="B220" s="46">
        <v>1.32346334</v>
      </c>
      <c r="C220" s="180">
        <f t="shared" si="16"/>
        <v>1.0115113423255537E-2</v>
      </c>
      <c r="D220" s="46">
        <v>1.0046172400000002</v>
      </c>
      <c r="E220" s="180">
        <f t="shared" si="17"/>
        <v>9.0456297022308112E-3</v>
      </c>
      <c r="F220" s="46">
        <v>0.31149569000000005</v>
      </c>
      <c r="G220" s="180">
        <f t="shared" si="18"/>
        <v>2.770252165060653E-3</v>
      </c>
      <c r="H220" s="180">
        <f t="shared" si="19"/>
        <v>-68.993595013360505</v>
      </c>
      <c r="I220" s="532">
        <f t="shared" si="20"/>
        <v>-76.463595130636563</v>
      </c>
      <c r="J220" s="533"/>
      <c r="K220" s="533"/>
      <c r="N220" s="18"/>
      <c r="O220" s="18"/>
      <c r="P220" s="18"/>
      <c r="Q220" s="18"/>
      <c r="R220" s="18"/>
    </row>
    <row r="221" spans="1:18" x14ac:dyDescent="0.25">
      <c r="A221" s="21" t="s">
        <v>792</v>
      </c>
      <c r="B221" s="46">
        <v>0.20534873000000001</v>
      </c>
      <c r="C221" s="180">
        <f t="shared" si="16"/>
        <v>1.5694622075980412E-3</v>
      </c>
      <c r="D221" s="46">
        <v>0.24878386999999999</v>
      </c>
      <c r="E221" s="180">
        <f t="shared" si="17"/>
        <v>2.2400638514902737E-3</v>
      </c>
      <c r="F221" s="46">
        <v>0.30913739000000001</v>
      </c>
      <c r="G221" s="180">
        <f t="shared" si="18"/>
        <v>2.749278887129062E-3</v>
      </c>
      <c r="H221" s="180">
        <f t="shared" si="19"/>
        <v>24.259418426122249</v>
      </c>
      <c r="I221" s="532">
        <f t="shared" si="20"/>
        <v>50.542635447514094</v>
      </c>
      <c r="J221" s="533"/>
      <c r="K221" s="533"/>
      <c r="N221" s="18"/>
      <c r="O221" s="18"/>
      <c r="P221" s="18"/>
      <c r="Q221" s="18"/>
      <c r="R221" s="18"/>
    </row>
    <row r="222" spans="1:18" x14ac:dyDescent="0.25">
      <c r="A222" s="21" t="s">
        <v>744</v>
      </c>
      <c r="B222" s="46">
        <v>0.33638846999999999</v>
      </c>
      <c r="C222" s="180">
        <f t="shared" si="16"/>
        <v>2.570987367376109E-3</v>
      </c>
      <c r="D222" s="46">
        <v>7.7608879999999991E-2</v>
      </c>
      <c r="E222" s="180">
        <f t="shared" si="17"/>
        <v>6.9879468730286434E-4</v>
      </c>
      <c r="F222" s="46">
        <v>0.26465662000000001</v>
      </c>
      <c r="G222" s="180">
        <f t="shared" si="18"/>
        <v>2.3536941219078648E-3</v>
      </c>
      <c r="H222" s="180">
        <f t="shared" si="19"/>
        <v>241.0133221868426</v>
      </c>
      <c r="I222" s="532">
        <f t="shared" si="20"/>
        <v>-21.324110781799387</v>
      </c>
      <c r="J222" s="533"/>
      <c r="K222" s="533"/>
      <c r="N222" s="18"/>
      <c r="O222" s="18"/>
      <c r="P222" s="18"/>
      <c r="Q222" s="18"/>
      <c r="R222" s="18"/>
    </row>
    <row r="223" spans="1:18" x14ac:dyDescent="0.25">
      <c r="A223" s="21" t="s">
        <v>790</v>
      </c>
      <c r="B223" s="46">
        <v>0.31375537999999997</v>
      </c>
      <c r="C223" s="180">
        <f t="shared" si="16"/>
        <v>2.3980046593936187E-3</v>
      </c>
      <c r="D223" s="46">
        <v>0.47049299999999999</v>
      </c>
      <c r="E223" s="180">
        <f t="shared" si="17"/>
        <v>4.2363452328288542E-3</v>
      </c>
      <c r="F223" s="46">
        <v>0.23165151</v>
      </c>
      <c r="G223" s="180">
        <f t="shared" si="18"/>
        <v>2.0601668585432738E-3</v>
      </c>
      <c r="H223" s="180">
        <f t="shared" si="19"/>
        <v>-50.764090007715311</v>
      </c>
      <c r="I223" s="532">
        <f t="shared" si="20"/>
        <v>-26.168115428012729</v>
      </c>
      <c r="J223" s="533"/>
      <c r="K223" s="533"/>
      <c r="N223" s="18"/>
      <c r="O223" s="18"/>
      <c r="P223" s="18"/>
      <c r="Q223" s="18"/>
      <c r="R223" s="18"/>
    </row>
    <row r="224" spans="1:18" x14ac:dyDescent="0.25">
      <c r="A224" s="21" t="s">
        <v>789</v>
      </c>
      <c r="B224" s="46">
        <v>0.68441118999999984</v>
      </c>
      <c r="C224" s="180">
        <f t="shared" si="16"/>
        <v>5.2308942799996969E-3</v>
      </c>
      <c r="D224" s="46">
        <v>7.9820370000000002E-2</v>
      </c>
      <c r="E224" s="180">
        <f t="shared" si="17"/>
        <v>7.1870706669841064E-4</v>
      </c>
      <c r="F224" s="46">
        <v>0.22497943999999997</v>
      </c>
      <c r="G224" s="180">
        <f t="shared" si="18"/>
        <v>2.0008295484092672E-3</v>
      </c>
      <c r="H224" s="180">
        <f t="shared" si="19"/>
        <v>181.85717505443782</v>
      </c>
      <c r="I224" s="532">
        <f t="shared" si="20"/>
        <v>-67.128030153919596</v>
      </c>
      <c r="J224" s="533"/>
      <c r="K224" s="533"/>
      <c r="N224" s="18"/>
      <c r="O224" s="18"/>
      <c r="P224" s="18"/>
      <c r="Q224" s="18"/>
      <c r="R224" s="18"/>
    </row>
    <row r="225" spans="1:18" x14ac:dyDescent="0.25">
      <c r="A225" s="21" t="s">
        <v>750</v>
      </c>
      <c r="B225" s="46">
        <v>1.8202235499999997</v>
      </c>
      <c r="C225" s="180">
        <f t="shared" si="16"/>
        <v>1.3911807835894298E-2</v>
      </c>
      <c r="D225" s="46">
        <v>3.7988327599999998</v>
      </c>
      <c r="E225" s="180">
        <f t="shared" si="17"/>
        <v>3.4204902205006403E-2</v>
      </c>
      <c r="F225" s="46">
        <v>0.20618926999999998</v>
      </c>
      <c r="G225" s="180">
        <f t="shared" si="18"/>
        <v>1.8337212679564695E-3</v>
      </c>
      <c r="H225" s="180">
        <f t="shared" si="19"/>
        <v>-94.572299360712051</v>
      </c>
      <c r="I225" s="532">
        <f t="shared" si="20"/>
        <v>-88.672310607122952</v>
      </c>
      <c r="J225" s="533"/>
      <c r="K225" s="533"/>
      <c r="N225" s="18"/>
      <c r="O225" s="18"/>
      <c r="P225" s="18"/>
      <c r="Q225" s="18"/>
      <c r="R225" s="18"/>
    </row>
    <row r="226" spans="1:18" x14ac:dyDescent="0.25">
      <c r="A226" s="21" t="s">
        <v>740</v>
      </c>
      <c r="B226" s="46">
        <v>47.385776900000003</v>
      </c>
      <c r="C226" s="180">
        <f t="shared" si="16"/>
        <v>0.36216530787515588</v>
      </c>
      <c r="D226" s="46">
        <v>8.1589999999999996E-3</v>
      </c>
      <c r="E226" s="180">
        <f t="shared" si="17"/>
        <v>7.3464091399129462E-5</v>
      </c>
      <c r="F226" s="46">
        <v>0.19546848999999999</v>
      </c>
      <c r="G226" s="180">
        <f t="shared" si="18"/>
        <v>1.7383772071569803E-3</v>
      </c>
      <c r="H226" s="180">
        <f t="shared" si="19"/>
        <v>2295.7407770560117</v>
      </c>
      <c r="I226" s="532">
        <f t="shared" si="20"/>
        <v>-99.587495441063453</v>
      </c>
      <c r="J226" s="533"/>
      <c r="K226" s="533"/>
      <c r="N226" s="18"/>
      <c r="O226" s="18"/>
      <c r="P226" s="18"/>
      <c r="Q226" s="18"/>
      <c r="R226" s="18"/>
    </row>
    <row r="227" spans="1:18" x14ac:dyDescent="0.25">
      <c r="A227" s="21" t="s">
        <v>764</v>
      </c>
      <c r="B227" s="46">
        <v>0.40592614999999999</v>
      </c>
      <c r="C227" s="180">
        <f t="shared" si="16"/>
        <v>3.1024577142540572E-3</v>
      </c>
      <c r="D227" s="46">
        <v>0.7133019599999999</v>
      </c>
      <c r="E227" s="180">
        <f t="shared" si="17"/>
        <v>6.4226106611861974E-3</v>
      </c>
      <c r="F227" s="46">
        <v>0.19182330999999997</v>
      </c>
      <c r="G227" s="180">
        <f t="shared" si="18"/>
        <v>1.7059592055241619E-3</v>
      </c>
      <c r="H227" s="180">
        <f t="shared" si="19"/>
        <v>-73.107699017117525</v>
      </c>
      <c r="I227" s="532">
        <f t="shared" si="20"/>
        <v>-52.74428365849306</v>
      </c>
      <c r="J227" s="533"/>
      <c r="K227" s="533"/>
      <c r="N227" s="18"/>
      <c r="O227" s="18"/>
      <c r="P227" s="18"/>
      <c r="Q227" s="18"/>
      <c r="R227" s="18"/>
    </row>
    <row r="228" spans="1:18" x14ac:dyDescent="0.25">
      <c r="A228" s="21" t="s">
        <v>785</v>
      </c>
      <c r="B228" s="46">
        <v>2.6401000000000002E-4</v>
      </c>
      <c r="C228" s="180">
        <f t="shared" si="16"/>
        <v>2.0178051134183244E-6</v>
      </c>
      <c r="D228" s="46">
        <v>3.9899999999999998E-2</v>
      </c>
      <c r="E228" s="180">
        <f t="shared" si="17"/>
        <v>3.5926182704072382E-4</v>
      </c>
      <c r="F228" s="46">
        <v>0.18598000000000001</v>
      </c>
      <c r="G228" s="180">
        <f t="shared" si="18"/>
        <v>1.6539923799843916E-3</v>
      </c>
      <c r="H228" s="180">
        <f t="shared" si="19"/>
        <v>366.11528822055146</v>
      </c>
      <c r="I228" s="532">
        <f t="shared" si="20"/>
        <v>70344.301352221504</v>
      </c>
      <c r="J228" s="533"/>
      <c r="K228" s="533"/>
      <c r="N228" s="18"/>
      <c r="O228" s="18"/>
      <c r="P228" s="18"/>
      <c r="Q228" s="18"/>
      <c r="R228" s="18"/>
    </row>
    <row r="229" spans="1:18" x14ac:dyDescent="0.25">
      <c r="A229" s="21" t="s">
        <v>788</v>
      </c>
      <c r="B229" s="46">
        <v>1.0576210000000001E-2</v>
      </c>
      <c r="C229" s="180">
        <f t="shared" si="16"/>
        <v>8.0833038970440566E-5</v>
      </c>
      <c r="D229" s="46">
        <v>4.7634530000000001E-2</v>
      </c>
      <c r="E229" s="180">
        <f t="shared" si="17"/>
        <v>4.2890396686782382E-4</v>
      </c>
      <c r="F229" s="46">
        <v>0.17530888</v>
      </c>
      <c r="G229" s="180">
        <f t="shared" si="18"/>
        <v>1.5590899648542751E-3</v>
      </c>
      <c r="H229" s="180">
        <f t="shared" si="19"/>
        <v>268.0289907342426</v>
      </c>
      <c r="I229" s="532">
        <f t="shared" si="20"/>
        <v>1557.5775254084401</v>
      </c>
      <c r="J229" s="533"/>
      <c r="K229" s="533"/>
      <c r="N229" s="18"/>
      <c r="O229" s="18"/>
      <c r="P229" s="18"/>
      <c r="Q229" s="18"/>
      <c r="R229" s="18"/>
    </row>
    <row r="230" spans="1:18" x14ac:dyDescent="0.25">
      <c r="A230" s="21" t="s">
        <v>787</v>
      </c>
      <c r="B230" s="46">
        <v>2.4168210000000002E-2</v>
      </c>
      <c r="C230" s="180">
        <f t="shared" si="16"/>
        <v>1.8471549456523573E-4</v>
      </c>
      <c r="D230" s="46">
        <v>1.437707E-2</v>
      </c>
      <c r="E230" s="180">
        <f t="shared" si="17"/>
        <v>1.2945194074416992E-4</v>
      </c>
      <c r="F230" s="46">
        <v>0.16882254999999999</v>
      </c>
      <c r="G230" s="180">
        <f t="shared" si="18"/>
        <v>1.5014045126870302E-3</v>
      </c>
      <c r="H230" s="180">
        <f t="shared" si="19"/>
        <v>1074.2486473252197</v>
      </c>
      <c r="I230" s="532">
        <f t="shared" si="20"/>
        <v>598.53145930128869</v>
      </c>
      <c r="J230" s="533"/>
      <c r="K230" s="533"/>
      <c r="N230" s="18"/>
      <c r="O230" s="18"/>
      <c r="P230" s="18"/>
      <c r="Q230" s="18"/>
      <c r="R230" s="18"/>
    </row>
    <row r="231" spans="1:18" x14ac:dyDescent="0.25">
      <c r="A231" s="21" t="s">
        <v>763</v>
      </c>
      <c r="B231" s="46">
        <v>0.44893564000000002</v>
      </c>
      <c r="C231" s="180">
        <f t="shared" si="16"/>
        <v>3.4311754478532179E-3</v>
      </c>
      <c r="D231" s="46">
        <v>0.53734594000000002</v>
      </c>
      <c r="E231" s="180">
        <f t="shared" si="17"/>
        <v>4.8382928360229368E-3</v>
      </c>
      <c r="F231" s="46">
        <v>0.15077815</v>
      </c>
      <c r="G231" s="180">
        <f t="shared" si="18"/>
        <v>1.3409286545227634E-3</v>
      </c>
      <c r="H231" s="180">
        <f t="shared" si="19"/>
        <v>-71.940208574014733</v>
      </c>
      <c r="I231" s="532">
        <f t="shared" si="20"/>
        <v>-66.414306068460064</v>
      </c>
      <c r="J231" s="533"/>
      <c r="K231" s="533"/>
      <c r="N231" s="18"/>
      <c r="O231" s="18"/>
      <c r="P231" s="18"/>
      <c r="Q231" s="18"/>
      <c r="R231" s="18"/>
    </row>
    <row r="232" spans="1:18" x14ac:dyDescent="0.25">
      <c r="A232" s="21" t="s">
        <v>759</v>
      </c>
      <c r="B232" s="46">
        <v>0.24876986000000001</v>
      </c>
      <c r="C232" s="180">
        <f t="shared" si="16"/>
        <v>1.9013260693623751E-3</v>
      </c>
      <c r="D232" s="46">
        <v>0.24447902000000005</v>
      </c>
      <c r="E232" s="180">
        <f t="shared" si="17"/>
        <v>2.2013027418126738E-3</v>
      </c>
      <c r="F232" s="46">
        <v>0.14054447</v>
      </c>
      <c r="G232" s="180">
        <f t="shared" si="18"/>
        <v>1.2499165632269323E-3</v>
      </c>
      <c r="H232" s="180">
        <f t="shared" si="19"/>
        <v>-42.512666322042691</v>
      </c>
      <c r="I232" s="532">
        <f t="shared" si="20"/>
        <v>-43.504221130325028</v>
      </c>
      <c r="J232" s="533"/>
      <c r="K232" s="533"/>
      <c r="N232" s="18"/>
      <c r="O232" s="18"/>
      <c r="P232" s="18"/>
      <c r="Q232" s="18"/>
      <c r="R232" s="18"/>
    </row>
    <row r="233" spans="1:18" x14ac:dyDescent="0.25">
      <c r="A233" s="21" t="s">
        <v>784</v>
      </c>
      <c r="B233" s="46">
        <v>6.1529999999999996E-3</v>
      </c>
      <c r="C233" s="180">
        <f t="shared" si="16"/>
        <v>4.7026835585254146E-5</v>
      </c>
      <c r="D233" s="46">
        <v>8.4662560000000012E-2</v>
      </c>
      <c r="E233" s="180">
        <f t="shared" si="17"/>
        <v>7.6230641572794255E-4</v>
      </c>
      <c r="F233" s="46">
        <v>0.11426394000000001</v>
      </c>
      <c r="G233" s="180">
        <f t="shared" si="18"/>
        <v>1.0161936018227428E-3</v>
      </c>
      <c r="H233" s="180">
        <f t="shared" si="19"/>
        <v>34.963955732026044</v>
      </c>
      <c r="I233" s="532">
        <f t="shared" si="20"/>
        <v>1757.0443686006829</v>
      </c>
      <c r="J233" s="533"/>
      <c r="K233" s="533"/>
      <c r="N233" s="18"/>
      <c r="O233" s="18"/>
      <c r="P233" s="18"/>
      <c r="Q233" s="18"/>
      <c r="R233" s="18"/>
    </row>
    <row r="234" spans="1:18" x14ac:dyDescent="0.25">
      <c r="A234" s="21" t="s">
        <v>783</v>
      </c>
      <c r="B234" s="46">
        <v>1.6010499999999999E-3</v>
      </c>
      <c r="C234" s="180">
        <f t="shared" si="16"/>
        <v>1.2236683750003437E-5</v>
      </c>
      <c r="D234" s="46">
        <v>0.10998429999999999</v>
      </c>
      <c r="E234" s="180">
        <f t="shared" si="17"/>
        <v>9.9030477603496438E-4</v>
      </c>
      <c r="F234" s="46">
        <v>9.3268669999999998E-2</v>
      </c>
      <c r="G234" s="180">
        <f t="shared" si="18"/>
        <v>8.294745105456436E-4</v>
      </c>
      <c r="H234" s="180">
        <f t="shared" si="19"/>
        <v>-15.198196469859781</v>
      </c>
      <c r="I234" s="532">
        <f t="shared" si="20"/>
        <v>5725.4689110271383</v>
      </c>
      <c r="J234" s="533"/>
      <c r="K234" s="533"/>
      <c r="N234" s="18"/>
      <c r="O234" s="18"/>
      <c r="P234" s="18"/>
      <c r="Q234" s="18"/>
      <c r="R234" s="18"/>
    </row>
    <row r="235" spans="1:18" x14ac:dyDescent="0.25">
      <c r="A235" s="21" t="s">
        <v>739</v>
      </c>
      <c r="B235" s="46">
        <v>169.61289041000001</v>
      </c>
      <c r="C235" s="180">
        <f t="shared" si="16"/>
        <v>1.2963363416952383</v>
      </c>
      <c r="D235" s="46">
        <v>0.12873601000000001</v>
      </c>
      <c r="E235" s="180">
        <f t="shared" si="17"/>
        <v>1.1591462195121027E-3</v>
      </c>
      <c r="F235" s="46">
        <v>7.3871240000000005E-2</v>
      </c>
      <c r="G235" s="180">
        <f t="shared" si="18"/>
        <v>6.5696563103558535E-4</v>
      </c>
      <c r="H235" s="180">
        <f t="shared" si="19"/>
        <v>-42.618044477221254</v>
      </c>
      <c r="I235" s="532">
        <f t="shared" si="20"/>
        <v>-99.956447154563875</v>
      </c>
      <c r="J235" s="533"/>
      <c r="K235" s="533"/>
      <c r="N235" s="18"/>
      <c r="O235" s="18"/>
      <c r="P235" s="18"/>
      <c r="Q235" s="18"/>
      <c r="R235" s="18"/>
    </row>
    <row r="236" spans="1:18" x14ac:dyDescent="0.25">
      <c r="A236" s="21" t="s">
        <v>782</v>
      </c>
      <c r="B236" s="46">
        <v>2.4540610200000001</v>
      </c>
      <c r="C236" s="180">
        <f t="shared" si="16"/>
        <v>1.8756171640455243E-2</v>
      </c>
      <c r="D236" s="46">
        <v>0.11298368</v>
      </c>
      <c r="E236" s="180">
        <f t="shared" si="17"/>
        <v>1.0173113609670298E-3</v>
      </c>
      <c r="F236" s="46">
        <v>7.2802790000000006E-2</v>
      </c>
      <c r="G236" s="180">
        <f t="shared" si="18"/>
        <v>6.4746349016885606E-4</v>
      </c>
      <c r="H236" s="180">
        <f t="shared" si="19"/>
        <v>-35.563445977330531</v>
      </c>
      <c r="I236" s="532">
        <f t="shared" si="20"/>
        <v>-97.033374907686692</v>
      </c>
      <c r="J236" s="533"/>
      <c r="K236" s="533"/>
      <c r="N236" s="18"/>
      <c r="O236" s="18"/>
      <c r="P236" s="18"/>
      <c r="Q236" s="18"/>
      <c r="R236" s="18"/>
    </row>
    <row r="237" spans="1:18" x14ac:dyDescent="0.25">
      <c r="A237" s="21" t="s">
        <v>781</v>
      </c>
      <c r="B237" s="46"/>
      <c r="C237" s="180">
        <f t="shared" si="16"/>
        <v>0</v>
      </c>
      <c r="D237" s="46">
        <v>7.3139999999999994E-5</v>
      </c>
      <c r="E237" s="180">
        <f t="shared" si="17"/>
        <v>6.5855664234983804E-7</v>
      </c>
      <c r="F237" s="46">
        <v>6.1950039999999998E-2</v>
      </c>
      <c r="G237" s="180">
        <f t="shared" si="18"/>
        <v>5.5094576889842047E-4</v>
      </c>
      <c r="H237" s="180">
        <f t="shared" si="19"/>
        <v>84600.62893081762</v>
      </c>
      <c r="I237" s="532" t="s">
        <v>240</v>
      </c>
      <c r="J237" s="533"/>
      <c r="K237" s="533"/>
      <c r="N237" s="18"/>
      <c r="O237" s="18"/>
      <c r="P237" s="18"/>
      <c r="Q237" s="18"/>
      <c r="R237" s="18"/>
    </row>
    <row r="238" spans="1:18" x14ac:dyDescent="0.25">
      <c r="A238" s="21" t="s">
        <v>780</v>
      </c>
      <c r="B238" s="46">
        <v>0.16303494000000002</v>
      </c>
      <c r="C238" s="180">
        <f t="shared" si="16"/>
        <v>1.2460616476567164E-3</v>
      </c>
      <c r="D238" s="46">
        <v>1.1363950199999999</v>
      </c>
      <c r="E238" s="180">
        <f t="shared" si="17"/>
        <v>1.0232164188600998E-2</v>
      </c>
      <c r="F238" s="46">
        <v>5.0175070000000002E-2</v>
      </c>
      <c r="G238" s="180">
        <f t="shared" si="18"/>
        <v>4.46226386951196E-4</v>
      </c>
      <c r="H238" s="180">
        <f t="shared" si="19"/>
        <v>-95.584715779553491</v>
      </c>
      <c r="I238" s="532">
        <f t="shared" si="20"/>
        <v>-69.224345407186959</v>
      </c>
      <c r="J238" s="533"/>
      <c r="K238" s="533"/>
      <c r="N238" s="18"/>
      <c r="O238" s="18"/>
      <c r="P238" s="18"/>
      <c r="Q238" s="18"/>
      <c r="R238" s="18"/>
    </row>
    <row r="239" spans="1:18" x14ac:dyDescent="0.25">
      <c r="A239" s="21" t="s">
        <v>779</v>
      </c>
      <c r="B239" s="46">
        <v>5.3615999999999994E-4</v>
      </c>
      <c r="C239" s="180">
        <f t="shared" si="16"/>
        <v>4.0978235279359437E-6</v>
      </c>
      <c r="D239" s="46">
        <v>1.14378E-2</v>
      </c>
      <c r="E239" s="180">
        <f t="shared" si="17"/>
        <v>1.0298658960717772E-4</v>
      </c>
      <c r="F239" s="46">
        <v>1.99848E-2</v>
      </c>
      <c r="G239" s="180">
        <f t="shared" si="18"/>
        <v>1.7773258907147039E-4</v>
      </c>
      <c r="H239" s="180">
        <f t="shared" si="19"/>
        <v>74.725908828620888</v>
      </c>
      <c r="I239" s="532">
        <f t="shared" si="20"/>
        <v>3627.3948075201438</v>
      </c>
      <c r="J239" s="533"/>
      <c r="K239" s="533"/>
      <c r="N239" s="18"/>
      <c r="O239" s="18"/>
      <c r="P239" s="18"/>
      <c r="Q239" s="18"/>
      <c r="R239" s="18"/>
    </row>
    <row r="240" spans="1:18" x14ac:dyDescent="0.25">
      <c r="A240" s="21" t="s">
        <v>462</v>
      </c>
      <c r="B240" s="46"/>
      <c r="C240" s="180">
        <f t="shared" si="16"/>
        <v>0</v>
      </c>
      <c r="D240" s="46"/>
      <c r="E240" s="180">
        <f t="shared" si="17"/>
        <v>0</v>
      </c>
      <c r="F240" s="46">
        <v>1.7807169999999997E-2</v>
      </c>
      <c r="G240" s="180">
        <f t="shared" si="18"/>
        <v>1.583660796273075E-4</v>
      </c>
      <c r="H240" s="180" t="s">
        <v>240</v>
      </c>
      <c r="I240" s="532" t="s">
        <v>240</v>
      </c>
      <c r="J240" s="533"/>
      <c r="K240" s="533"/>
      <c r="N240" s="18"/>
      <c r="O240" s="18"/>
      <c r="P240" s="18"/>
      <c r="Q240" s="18"/>
      <c r="R240" s="18"/>
    </row>
    <row r="241" spans="1:18" x14ac:dyDescent="0.25">
      <c r="A241" s="21" t="s">
        <v>778</v>
      </c>
      <c r="B241" s="46">
        <v>2.07516927</v>
      </c>
      <c r="C241" s="180">
        <f t="shared" si="16"/>
        <v>1.5860335457803004E-2</v>
      </c>
      <c r="D241" s="46">
        <v>8.7386600000000005E-3</v>
      </c>
      <c r="E241" s="180">
        <f t="shared" si="17"/>
        <v>7.8683382393175235E-5</v>
      </c>
      <c r="F241" s="46">
        <v>1.5201020000000001E-2</v>
      </c>
      <c r="G241" s="180">
        <f t="shared" si="18"/>
        <v>1.3518857537364411E-4</v>
      </c>
      <c r="H241" s="180">
        <f t="shared" si="19"/>
        <v>73.951383850613269</v>
      </c>
      <c r="I241" s="532">
        <f t="shared" si="20"/>
        <v>-99.26748047883342</v>
      </c>
      <c r="J241" s="533"/>
      <c r="K241" s="533"/>
      <c r="N241" s="18"/>
      <c r="O241" s="18"/>
      <c r="P241" s="18"/>
      <c r="Q241" s="18"/>
      <c r="R241" s="18"/>
    </row>
    <row r="242" spans="1:18" x14ac:dyDescent="0.25">
      <c r="A242" s="21" t="s">
        <v>777</v>
      </c>
      <c r="B242" s="46">
        <v>0.22221872000000001</v>
      </c>
      <c r="C242" s="180">
        <f t="shared" si="16"/>
        <v>1.6983980512604632E-3</v>
      </c>
      <c r="D242" s="46">
        <v>0.23960291000000003</v>
      </c>
      <c r="E242" s="180">
        <f t="shared" si="17"/>
        <v>2.1573979752098778E-3</v>
      </c>
      <c r="F242" s="46">
        <v>9.4182399999999996E-3</v>
      </c>
      <c r="G242" s="180">
        <f t="shared" si="18"/>
        <v>8.3760066635467216E-5</v>
      </c>
      <c r="H242" s="180">
        <f t="shared" si="19"/>
        <v>-96.069229710106612</v>
      </c>
      <c r="I242" s="532">
        <f t="shared" si="20"/>
        <v>-95.761725204789229</v>
      </c>
      <c r="J242" s="533"/>
      <c r="K242" s="533"/>
      <c r="N242" s="18"/>
      <c r="O242" s="18"/>
      <c r="P242" s="18"/>
      <c r="Q242" s="18"/>
      <c r="R242" s="18"/>
    </row>
    <row r="243" spans="1:18" x14ac:dyDescent="0.25">
      <c r="A243" s="21" t="s">
        <v>776</v>
      </c>
      <c r="B243" s="46">
        <v>2.25325E-3</v>
      </c>
      <c r="C243" s="180">
        <f t="shared" si="16"/>
        <v>1.7221390749630088E-5</v>
      </c>
      <c r="D243" s="46"/>
      <c r="E243" s="180">
        <f t="shared" si="17"/>
        <v>0</v>
      </c>
      <c r="F243" s="46">
        <v>8.28746E-3</v>
      </c>
      <c r="G243" s="180">
        <f t="shared" si="18"/>
        <v>7.3703600867972059E-5</v>
      </c>
      <c r="H243" s="180" t="s">
        <v>240</v>
      </c>
      <c r="I243" s="532">
        <f t="shared" si="20"/>
        <v>267.80028847220677</v>
      </c>
      <c r="J243" s="533"/>
      <c r="K243" s="533"/>
      <c r="N243" s="18"/>
      <c r="O243" s="18"/>
      <c r="P243" s="18"/>
      <c r="Q243" s="18"/>
      <c r="R243" s="18"/>
    </row>
    <row r="244" spans="1:18" x14ac:dyDescent="0.25">
      <c r="A244" s="21" t="s">
        <v>775</v>
      </c>
      <c r="B244" s="46">
        <v>2.305509E-2</v>
      </c>
      <c r="C244" s="180">
        <f t="shared" si="16"/>
        <v>1.7620801671269903E-4</v>
      </c>
      <c r="D244" s="46"/>
      <c r="E244" s="180">
        <f t="shared" si="17"/>
        <v>0</v>
      </c>
      <c r="F244" s="46">
        <v>4.1999999999999997E-3</v>
      </c>
      <c r="G244" s="180">
        <f t="shared" si="18"/>
        <v>3.7352231400873443E-5</v>
      </c>
      <c r="H244" s="180" t="s">
        <v>240</v>
      </c>
      <c r="I244" s="532">
        <f t="shared" si="20"/>
        <v>-81.782764673657752</v>
      </c>
      <c r="J244" s="533"/>
      <c r="K244" s="533"/>
      <c r="N244" s="18"/>
      <c r="O244" s="18"/>
      <c r="P244" s="18"/>
      <c r="Q244" s="18"/>
      <c r="R244" s="18"/>
    </row>
    <row r="245" spans="1:18" x14ac:dyDescent="0.25">
      <c r="A245" s="21" t="s">
        <v>774</v>
      </c>
      <c r="B245" s="46">
        <v>0.75113977999999992</v>
      </c>
      <c r="C245" s="180">
        <f t="shared" si="16"/>
        <v>5.7408950000981595E-3</v>
      </c>
      <c r="D245" s="46">
        <v>0.15711950999999999</v>
      </c>
      <c r="E245" s="180">
        <f t="shared" si="17"/>
        <v>1.4147128377529643E-3</v>
      </c>
      <c r="F245" s="46">
        <v>3.6739300000000002E-3</v>
      </c>
      <c r="G245" s="180">
        <f t="shared" si="18"/>
        <v>3.2673686550145474E-5</v>
      </c>
      <c r="H245" s="180">
        <f t="shared" si="19"/>
        <v>-97.661697137421072</v>
      </c>
      <c r="I245" s="532">
        <f t="shared" si="20"/>
        <v>-99.510885976508916</v>
      </c>
      <c r="J245" s="533"/>
      <c r="K245" s="533"/>
      <c r="N245" s="18"/>
      <c r="O245" s="18"/>
      <c r="P245" s="18"/>
      <c r="Q245" s="18"/>
      <c r="R245" s="18"/>
    </row>
    <row r="246" spans="1:18" x14ac:dyDescent="0.25">
      <c r="A246" s="21" t="s">
        <v>773</v>
      </c>
      <c r="B246" s="46">
        <v>0.10053339000000001</v>
      </c>
      <c r="C246" s="180">
        <f t="shared" si="16"/>
        <v>7.6836782095859488E-4</v>
      </c>
      <c r="D246" s="46">
        <v>9.3436999999999999E-3</v>
      </c>
      <c r="E246" s="180">
        <f t="shared" si="17"/>
        <v>8.4131196323819829E-5</v>
      </c>
      <c r="F246" s="46">
        <v>1.6801199999999998E-3</v>
      </c>
      <c r="G246" s="180">
        <f t="shared" si="18"/>
        <v>1.494195976696083E-5</v>
      </c>
      <c r="H246" s="180">
        <f t="shared" si="19"/>
        <v>-82.018686387619468</v>
      </c>
      <c r="I246" s="532">
        <f t="shared" si="20"/>
        <v>-98.328794045441029</v>
      </c>
      <c r="J246" s="533"/>
      <c r="K246" s="533"/>
      <c r="N246" s="18"/>
      <c r="O246" s="18"/>
      <c r="P246" s="18"/>
      <c r="Q246" s="18"/>
      <c r="R246" s="18"/>
    </row>
    <row r="247" spans="1:18" x14ac:dyDescent="0.25">
      <c r="A247" s="21" t="s">
        <v>772</v>
      </c>
      <c r="B247" s="46">
        <v>0.14508606000000002</v>
      </c>
      <c r="C247" s="180">
        <f t="shared" si="16"/>
        <v>1.1088799430086656E-3</v>
      </c>
      <c r="D247" s="46">
        <v>2.3811999999999998E-4</v>
      </c>
      <c r="E247" s="180">
        <f t="shared" si="17"/>
        <v>2.14404577080043E-6</v>
      </c>
      <c r="F247" s="46">
        <v>1.4263800000000001E-3</v>
      </c>
      <c r="G247" s="180">
        <f t="shared" si="18"/>
        <v>1.268535138704235E-5</v>
      </c>
      <c r="H247" s="180">
        <f t="shared" si="19"/>
        <v>499.01730220057124</v>
      </c>
      <c r="I247" s="532">
        <f t="shared" si="20"/>
        <v>-99.01687315790366</v>
      </c>
      <c r="J247" s="533"/>
      <c r="K247" s="533"/>
      <c r="N247" s="18"/>
      <c r="O247" s="18"/>
      <c r="P247" s="18"/>
      <c r="Q247" s="18"/>
      <c r="R247" s="18"/>
    </row>
    <row r="248" spans="1:18" x14ac:dyDescent="0.25">
      <c r="A248" s="21" t="s">
        <v>771</v>
      </c>
      <c r="B248" s="46">
        <v>7.8641300000000004E-3</v>
      </c>
      <c r="C248" s="180">
        <f t="shared" si="16"/>
        <v>6.0104851053317851E-5</v>
      </c>
      <c r="D248" s="46">
        <v>8.790131000000001E-2</v>
      </c>
      <c r="E248" s="180">
        <f t="shared" si="17"/>
        <v>7.9146830150057768E-4</v>
      </c>
      <c r="F248" s="46">
        <v>7.4508000000000007E-4</v>
      </c>
      <c r="G248" s="180">
        <f t="shared" si="18"/>
        <v>6.62628585051495E-6</v>
      </c>
      <c r="H248" s="180">
        <f t="shared" si="19"/>
        <v>-99.152367581325009</v>
      </c>
      <c r="I248" s="532">
        <f t="shared" si="20"/>
        <v>-90.525588971698085</v>
      </c>
      <c r="J248" s="533"/>
      <c r="K248" s="533"/>
      <c r="N248" s="18"/>
      <c r="O248" s="18"/>
      <c r="P248" s="18"/>
      <c r="Q248" s="18"/>
      <c r="R248" s="18"/>
    </row>
    <row r="249" spans="1:18" x14ac:dyDescent="0.25">
      <c r="A249" s="21" t="s">
        <v>734</v>
      </c>
      <c r="B249" s="46">
        <v>1577.77651967</v>
      </c>
      <c r="C249" s="180">
        <f t="shared" si="16"/>
        <v>12.058806595286137</v>
      </c>
      <c r="D249" s="46">
        <v>5.3237999999999994E-4</v>
      </c>
      <c r="E249" s="180">
        <f t="shared" si="17"/>
        <v>4.7935792350862291E-6</v>
      </c>
      <c r="F249" s="46">
        <v>5.0681999999999995E-4</v>
      </c>
      <c r="G249" s="180">
        <f t="shared" si="18"/>
        <v>4.5073471234739708E-6</v>
      </c>
      <c r="H249" s="180">
        <f t="shared" si="19"/>
        <v>-4.8010819339569526</v>
      </c>
      <c r="I249" s="532">
        <f t="shared" si="20"/>
        <v>-99.999967877580019</v>
      </c>
      <c r="J249" s="533"/>
      <c r="K249" s="533"/>
      <c r="N249" s="18"/>
      <c r="O249" s="18"/>
      <c r="P249" s="18"/>
      <c r="Q249" s="18"/>
      <c r="R249" s="18"/>
    </row>
    <row r="250" spans="1:18" x14ac:dyDescent="0.25">
      <c r="A250" s="21" t="s">
        <v>770</v>
      </c>
      <c r="B250" s="46">
        <v>7.7526799999999996E-3</v>
      </c>
      <c r="C250" s="180">
        <f t="shared" si="16"/>
        <v>5.9253048546251935E-5</v>
      </c>
      <c r="D250" s="46">
        <v>4.2902400000000007E-3</v>
      </c>
      <c r="E250" s="180">
        <f t="shared" si="17"/>
        <v>3.8629560422135218E-5</v>
      </c>
      <c r="F250" s="46">
        <v>3.8745000000000001E-4</v>
      </c>
      <c r="G250" s="180">
        <f t="shared" si="18"/>
        <v>3.445743346730575E-6</v>
      </c>
      <c r="H250" s="180">
        <f t="shared" si="19"/>
        <v>-90.969036697247702</v>
      </c>
      <c r="I250" s="532">
        <f t="shared" si="20"/>
        <v>-95.002373372820756</v>
      </c>
      <c r="J250" s="533"/>
      <c r="K250" s="533"/>
      <c r="N250" s="18"/>
      <c r="O250" s="18"/>
      <c r="P250" s="18"/>
      <c r="Q250" s="18"/>
      <c r="R250" s="18"/>
    </row>
    <row r="251" spans="1:18" x14ac:dyDescent="0.25">
      <c r="A251" s="21" t="s">
        <v>769</v>
      </c>
      <c r="B251" s="46">
        <v>9.9180000000000009E-5</v>
      </c>
      <c r="C251" s="180">
        <f t="shared" si="16"/>
        <v>7.580239807159934E-7</v>
      </c>
      <c r="D251" s="46"/>
      <c r="E251" s="180">
        <f t="shared" si="17"/>
        <v>0</v>
      </c>
      <c r="F251" s="46">
        <v>3.7550000000000002E-4</v>
      </c>
      <c r="G251" s="180">
        <f t="shared" si="18"/>
        <v>3.3394673550066617E-6</v>
      </c>
      <c r="H251" s="180" t="s">
        <v>240</v>
      </c>
      <c r="I251" s="532">
        <f t="shared" si="20"/>
        <v>278.60455737043759</v>
      </c>
      <c r="J251" s="533"/>
      <c r="K251" s="533"/>
      <c r="N251" s="18"/>
      <c r="O251" s="18"/>
      <c r="P251" s="18"/>
      <c r="Q251" s="18"/>
      <c r="R251" s="18"/>
    </row>
    <row r="252" spans="1:18" x14ac:dyDescent="0.25">
      <c r="A252" s="21" t="s">
        <v>768</v>
      </c>
      <c r="B252" s="46">
        <v>2.1517439999999999E-2</v>
      </c>
      <c r="C252" s="180">
        <f t="shared" si="16"/>
        <v>1.6445589356339527E-4</v>
      </c>
      <c r="D252" s="46"/>
      <c r="E252" s="180">
        <f t="shared" si="17"/>
        <v>0</v>
      </c>
      <c r="F252" s="46">
        <v>3.6539999999999999E-4</v>
      </c>
      <c r="G252" s="180">
        <f t="shared" si="18"/>
        <v>3.2496441318759899E-6</v>
      </c>
      <c r="H252" s="180" t="s">
        <v>240</v>
      </c>
      <c r="I252" s="532">
        <f t="shared" si="20"/>
        <v>-98.301842598376012</v>
      </c>
      <c r="J252" s="533"/>
      <c r="K252" s="533"/>
      <c r="N252" s="18"/>
      <c r="O252" s="18"/>
      <c r="P252" s="18"/>
      <c r="Q252" s="18"/>
      <c r="R252" s="18"/>
    </row>
    <row r="253" spans="1:18" x14ac:dyDescent="0.25">
      <c r="A253" s="21" t="s">
        <v>767</v>
      </c>
      <c r="B253" s="46">
        <v>7.4715000000000003E-4</v>
      </c>
      <c r="C253" s="180">
        <f t="shared" si="16"/>
        <v>5.7104014639237186E-6</v>
      </c>
      <c r="D253" s="46"/>
      <c r="E253" s="180">
        <f t="shared" si="17"/>
        <v>0</v>
      </c>
      <c r="F253" s="46">
        <v>1.749E-4</v>
      </c>
      <c r="G253" s="180">
        <f t="shared" si="18"/>
        <v>1.5554536361935156E-6</v>
      </c>
      <c r="H253" s="180" t="s">
        <v>240</v>
      </c>
      <c r="I253" s="532">
        <f t="shared" si="20"/>
        <v>-76.591045974703874</v>
      </c>
      <c r="J253" s="533"/>
      <c r="K253" s="533"/>
      <c r="N253" s="18"/>
      <c r="O253" s="18"/>
      <c r="P253" s="18"/>
      <c r="Q253" s="18"/>
      <c r="R253" s="18"/>
    </row>
    <row r="254" spans="1:18" x14ac:dyDescent="0.25">
      <c r="A254" s="21" t="s">
        <v>982</v>
      </c>
      <c r="B254" s="46"/>
      <c r="C254" s="180">
        <f t="shared" si="16"/>
        <v>0</v>
      </c>
      <c r="D254" s="46">
        <v>2.8316000000000002E-4</v>
      </c>
      <c r="E254" s="180">
        <f t="shared" si="17"/>
        <v>2.5495884447331169E-6</v>
      </c>
      <c r="F254" s="46"/>
      <c r="G254" s="180">
        <f t="shared" si="18"/>
        <v>0</v>
      </c>
      <c r="H254" s="180">
        <f t="shared" si="19"/>
        <v>-100</v>
      </c>
      <c r="I254" s="532" t="s">
        <v>240</v>
      </c>
      <c r="J254" s="533"/>
      <c r="K254" s="533"/>
      <c r="N254" s="18"/>
      <c r="O254" s="18"/>
      <c r="P254" s="18"/>
      <c r="Q254" s="18"/>
      <c r="R254" s="18"/>
    </row>
    <row r="255" spans="1:18" x14ac:dyDescent="0.25">
      <c r="A255" s="21" t="s">
        <v>762</v>
      </c>
      <c r="B255" s="46">
        <v>0.69324492999999998</v>
      </c>
      <c r="C255" s="180">
        <f t="shared" si="16"/>
        <v>5.2984097746499306E-3</v>
      </c>
      <c r="D255" s="46"/>
      <c r="E255" s="180">
        <f t="shared" si="17"/>
        <v>0</v>
      </c>
      <c r="F255" s="46"/>
      <c r="G255" s="180">
        <f t="shared" si="18"/>
        <v>0</v>
      </c>
      <c r="H255" s="180" t="s">
        <v>240</v>
      </c>
      <c r="I255" s="532">
        <f t="shared" si="20"/>
        <v>-100</v>
      </c>
      <c r="J255" s="533"/>
      <c r="K255" s="533"/>
      <c r="N255" s="18"/>
      <c r="O255" s="18"/>
      <c r="P255" s="18"/>
      <c r="Q255" s="18"/>
      <c r="R255" s="18"/>
    </row>
    <row r="256" spans="1:18" x14ac:dyDescent="0.25">
      <c r="A256" s="21" t="s">
        <v>757</v>
      </c>
      <c r="B256" s="46"/>
      <c r="C256" s="180">
        <f t="shared" si="16"/>
        <v>0</v>
      </c>
      <c r="D256" s="46">
        <v>3.2284099999999997E-3</v>
      </c>
      <c r="E256" s="180">
        <f t="shared" si="17"/>
        <v>2.9068783835502334E-5</v>
      </c>
      <c r="F256" s="46"/>
      <c r="G256" s="180">
        <f t="shared" si="18"/>
        <v>0</v>
      </c>
      <c r="H256" s="180">
        <f t="shared" si="19"/>
        <v>-100</v>
      </c>
      <c r="I256" s="532" t="s">
        <v>240</v>
      </c>
      <c r="J256" s="533"/>
      <c r="K256" s="533"/>
      <c r="N256" s="18"/>
      <c r="O256" s="18"/>
      <c r="P256" s="18"/>
      <c r="Q256" s="18"/>
      <c r="R256" s="18"/>
    </row>
    <row r="257" spans="1:18" x14ac:dyDescent="0.25">
      <c r="A257" s="21" t="s">
        <v>983</v>
      </c>
      <c r="B257" s="46">
        <v>8.8419999999999992E-3</v>
      </c>
      <c r="C257" s="180">
        <f t="shared" si="16"/>
        <v>6.7578625100734137E-5</v>
      </c>
      <c r="D257" s="46"/>
      <c r="E257" s="180">
        <f t="shared" si="17"/>
        <v>0</v>
      </c>
      <c r="F257" s="46"/>
      <c r="G257" s="180">
        <f t="shared" si="18"/>
        <v>0</v>
      </c>
      <c r="H257" s="180" t="s">
        <v>240</v>
      </c>
      <c r="I257" s="532">
        <f t="shared" si="20"/>
        <v>-100</v>
      </c>
      <c r="J257" s="533"/>
      <c r="K257" s="533"/>
      <c r="N257" s="18"/>
      <c r="O257" s="18"/>
      <c r="P257" s="18"/>
      <c r="Q257" s="18"/>
      <c r="R257" s="18"/>
    </row>
    <row r="258" spans="1:18" x14ac:dyDescent="0.25">
      <c r="A258" s="21" t="s">
        <v>984</v>
      </c>
      <c r="B258" s="46">
        <v>4.4395999999999998E-2</v>
      </c>
      <c r="C258" s="180">
        <f t="shared" si="16"/>
        <v>3.3931470707670135E-4</v>
      </c>
      <c r="D258" s="46"/>
      <c r="E258" s="180">
        <f t="shared" si="17"/>
        <v>0</v>
      </c>
      <c r="F258" s="46"/>
      <c r="G258" s="180">
        <f t="shared" si="18"/>
        <v>0</v>
      </c>
      <c r="H258" s="180" t="s">
        <v>240</v>
      </c>
      <c r="I258" s="532">
        <f t="shared" si="20"/>
        <v>-100</v>
      </c>
      <c r="N258" s="18"/>
      <c r="O258" s="18"/>
      <c r="P258" s="18"/>
      <c r="Q258" s="18"/>
      <c r="R258" s="18"/>
    </row>
    <row r="259" spans="1:18" ht="13" x14ac:dyDescent="0.3">
      <c r="A259" s="253"/>
      <c r="B259" s="253">
        <f>SUBTOTAL(109,B4:B258)</f>
        <v>13084.018780820008</v>
      </c>
      <c r="C259" s="253">
        <f>SUBTOTAL(109,C4:C257)</f>
        <v>99.99966068529298</v>
      </c>
      <c r="D259" s="253">
        <f>SUBTOTAL(109,D4:D258)</f>
        <v>11106.106186861085</v>
      </c>
      <c r="E259" s="253">
        <f>SUBTOTAL(109,E4:E257)</f>
        <v>100.00000000000016</v>
      </c>
      <c r="F259" s="253">
        <f>SUBTOTAL(109,F4:F258)</f>
        <v>11244.30815103</v>
      </c>
      <c r="G259" s="253">
        <f>SUBTOTAL(109,G4:G257)</f>
        <v>100.00000000000004</v>
      </c>
      <c r="H259" s="228">
        <f>((F259/D259)-1)*100</f>
        <v>1.2443781991965164</v>
      </c>
      <c r="I259" s="228">
        <f>((F259/'Tab16 Imports by Product'!$B259)-1)*100</f>
        <v>-14.06074586568813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C437557D-B3A7-4B99-B283-EF2AB85E0A0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Q35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30.54296875" style="20" bestFit="1" customWidth="1"/>
    <col min="2" max="2" width="28.1796875" style="20" customWidth="1"/>
    <col min="3" max="3" width="27" style="20" customWidth="1"/>
    <col min="4" max="5" width="29.54296875" style="20" bestFit="1" customWidth="1"/>
    <col min="6" max="6" width="50.1796875" style="20" bestFit="1" customWidth="1"/>
    <col min="7" max="16384" width="9.1796875" style="1"/>
  </cols>
  <sheetData>
    <row r="1" spans="1:17" ht="13" x14ac:dyDescent="0.3">
      <c r="A1" s="620" t="s">
        <v>645</v>
      </c>
      <c r="B1" s="620"/>
      <c r="C1" s="256"/>
      <c r="H1" s="7" t="s">
        <v>239</v>
      </c>
    </row>
    <row r="2" spans="1:17" s="255" customFormat="1" ht="13" x14ac:dyDescent="0.3">
      <c r="A2" s="312" t="s">
        <v>626</v>
      </c>
      <c r="B2" s="312" t="s">
        <v>466</v>
      </c>
      <c r="C2" s="312" t="s">
        <v>465</v>
      </c>
      <c r="D2" s="312" t="s">
        <v>732</v>
      </c>
      <c r="E2" s="312" t="s">
        <v>464</v>
      </c>
      <c r="F2" s="312" t="s">
        <v>462</v>
      </c>
    </row>
    <row r="3" spans="1:17" x14ac:dyDescent="0.25">
      <c r="A3" s="378" t="s">
        <v>254</v>
      </c>
      <c r="B3" s="379">
        <v>3.5060000000000001E-4</v>
      </c>
      <c r="C3" s="379"/>
      <c r="D3" s="379"/>
      <c r="E3" s="379"/>
      <c r="F3" s="379"/>
    </row>
    <row r="4" spans="1:17" x14ac:dyDescent="0.25">
      <c r="A4" s="380" t="s">
        <v>262</v>
      </c>
      <c r="B4" s="381">
        <v>19.862181</v>
      </c>
      <c r="C4" s="381"/>
      <c r="D4" s="381"/>
      <c r="E4" s="381"/>
      <c r="F4" s="381"/>
      <c r="M4" s="4"/>
      <c r="N4" s="4"/>
      <c r="O4" s="4"/>
      <c r="P4" s="4"/>
      <c r="Q4" s="4"/>
    </row>
    <row r="5" spans="1:17" x14ac:dyDescent="0.25">
      <c r="A5" s="380" t="s">
        <v>251</v>
      </c>
      <c r="B5" s="381">
        <v>5.8073573700000001</v>
      </c>
      <c r="C5" s="381"/>
      <c r="D5" s="381">
        <v>137.03005074000001</v>
      </c>
      <c r="E5" s="381">
        <v>94.512041790000012</v>
      </c>
      <c r="F5" s="381"/>
      <c r="M5" s="4"/>
      <c r="N5" s="4"/>
      <c r="O5" s="4"/>
      <c r="P5" s="4"/>
      <c r="Q5" s="4"/>
    </row>
    <row r="6" spans="1:17" x14ac:dyDescent="0.25">
      <c r="A6" s="380" t="s">
        <v>674</v>
      </c>
      <c r="B6" s="381">
        <v>12.538226009999999</v>
      </c>
      <c r="C6" s="381"/>
      <c r="D6" s="381"/>
      <c r="E6" s="381"/>
      <c r="F6" s="381"/>
      <c r="M6" s="4"/>
      <c r="N6" s="4"/>
      <c r="O6" s="4"/>
      <c r="P6" s="4"/>
      <c r="Q6" s="4"/>
    </row>
    <row r="7" spans="1:17" x14ac:dyDescent="0.25">
      <c r="A7" s="380" t="s">
        <v>245</v>
      </c>
      <c r="B7" s="381"/>
      <c r="C7" s="381"/>
      <c r="D7" s="381"/>
      <c r="E7" s="381">
        <v>486.30005521999993</v>
      </c>
      <c r="F7" s="381"/>
      <c r="M7" s="4"/>
      <c r="N7" s="4"/>
      <c r="O7" s="4"/>
      <c r="P7" s="4"/>
      <c r="Q7" s="4"/>
    </row>
    <row r="8" spans="1:17" x14ac:dyDescent="0.25">
      <c r="A8" s="380" t="s">
        <v>612</v>
      </c>
      <c r="B8" s="381"/>
      <c r="C8" s="381"/>
      <c r="D8" s="381">
        <v>14.74982982</v>
      </c>
      <c r="E8" s="381"/>
      <c r="F8" s="381"/>
      <c r="M8" s="4"/>
      <c r="N8" s="4"/>
      <c r="O8" s="4"/>
      <c r="P8" s="4"/>
      <c r="Q8" s="4"/>
    </row>
    <row r="9" spans="1:17" x14ac:dyDescent="0.25">
      <c r="A9" s="380" t="s">
        <v>266</v>
      </c>
      <c r="B9" s="381"/>
      <c r="C9" s="381"/>
      <c r="D9" s="381">
        <v>5.5000000000000003E-4</v>
      </c>
      <c r="E9" s="381"/>
      <c r="F9" s="381"/>
      <c r="M9" s="4"/>
      <c r="N9" s="4"/>
      <c r="O9" s="4"/>
      <c r="P9" s="4"/>
      <c r="Q9" s="4"/>
    </row>
    <row r="10" spans="1:17" x14ac:dyDescent="0.25">
      <c r="A10" s="380" t="s">
        <v>246</v>
      </c>
      <c r="B10" s="381"/>
      <c r="C10" s="381">
        <v>1800.5188816700002</v>
      </c>
      <c r="D10" s="381">
        <v>363.59622715999996</v>
      </c>
      <c r="E10" s="381">
        <v>4.9352813300000005</v>
      </c>
      <c r="F10" s="381"/>
      <c r="M10" s="4"/>
      <c r="N10" s="4"/>
      <c r="O10" s="4"/>
      <c r="P10" s="4"/>
      <c r="Q10" s="4"/>
    </row>
    <row r="11" spans="1:17" x14ac:dyDescent="0.25">
      <c r="A11" s="380" t="s">
        <v>567</v>
      </c>
      <c r="B11" s="381"/>
      <c r="C11" s="381"/>
      <c r="D11" s="381">
        <v>5.9999999999999995E-4</v>
      </c>
      <c r="E11" s="381"/>
      <c r="F11" s="381"/>
      <c r="M11" s="4"/>
      <c r="N11" s="4"/>
      <c r="O11" s="4"/>
      <c r="P11" s="4"/>
      <c r="Q11" s="4"/>
    </row>
    <row r="12" spans="1:17" x14ac:dyDescent="0.25">
      <c r="A12" s="380" t="s">
        <v>236</v>
      </c>
      <c r="B12" s="381">
        <v>25.775632590000001</v>
      </c>
      <c r="C12" s="381"/>
      <c r="D12" s="381"/>
      <c r="E12" s="381"/>
      <c r="F12" s="381"/>
      <c r="M12" s="4"/>
      <c r="N12" s="4"/>
      <c r="O12" s="4"/>
      <c r="P12" s="4"/>
      <c r="Q12" s="4"/>
    </row>
    <row r="13" spans="1:17" x14ac:dyDescent="0.25">
      <c r="A13" s="380" t="s">
        <v>249</v>
      </c>
      <c r="B13" s="381">
        <v>85.331677989999989</v>
      </c>
      <c r="C13" s="381"/>
      <c r="D13" s="381"/>
      <c r="E13" s="381"/>
      <c r="F13" s="381"/>
      <c r="M13" s="4"/>
      <c r="N13" s="4"/>
      <c r="O13" s="4"/>
      <c r="P13" s="4"/>
      <c r="Q13" s="4"/>
    </row>
    <row r="14" spans="1:17" x14ac:dyDescent="0.25">
      <c r="A14" s="380" t="s">
        <v>543</v>
      </c>
      <c r="B14" s="381">
        <v>3.1863192499999999</v>
      </c>
      <c r="C14" s="381"/>
      <c r="D14" s="381"/>
      <c r="E14" s="381"/>
      <c r="F14" s="381"/>
      <c r="M14" s="4"/>
      <c r="N14" s="4"/>
      <c r="O14" s="4"/>
      <c r="P14" s="4"/>
      <c r="Q14" s="4"/>
    </row>
    <row r="15" spans="1:17" x14ac:dyDescent="0.25">
      <c r="A15" s="380" t="s">
        <v>256</v>
      </c>
      <c r="B15" s="381">
        <v>66.264543330000009</v>
      </c>
      <c r="C15" s="381">
        <v>1203.3738903399999</v>
      </c>
      <c r="D15" s="381"/>
      <c r="E15" s="381"/>
      <c r="F15" s="381"/>
      <c r="M15" s="4"/>
      <c r="N15" s="4"/>
      <c r="O15" s="4"/>
      <c r="P15" s="4"/>
      <c r="Q15" s="4"/>
    </row>
    <row r="16" spans="1:17" x14ac:dyDescent="0.25">
      <c r="A16" s="380" t="s">
        <v>257</v>
      </c>
      <c r="B16" s="381">
        <v>25.523048939999999</v>
      </c>
      <c r="C16" s="381"/>
      <c r="D16" s="381"/>
      <c r="E16" s="381">
        <v>6.7418170000000002</v>
      </c>
      <c r="F16" s="381"/>
      <c r="M16" s="4"/>
      <c r="N16" s="4"/>
      <c r="O16" s="4"/>
      <c r="P16" s="4"/>
      <c r="Q16" s="4"/>
    </row>
    <row r="17" spans="1:17" x14ac:dyDescent="0.25">
      <c r="A17" s="380" t="s">
        <v>269</v>
      </c>
      <c r="B17" s="381">
        <v>7.1979612199999998</v>
      </c>
      <c r="C17" s="381"/>
      <c r="D17" s="381"/>
      <c r="E17" s="381"/>
      <c r="F17" s="381"/>
      <c r="M17" s="4"/>
      <c r="N17" s="4"/>
      <c r="O17" s="4"/>
      <c r="P17" s="4"/>
      <c r="Q17" s="4"/>
    </row>
    <row r="18" spans="1:17" x14ac:dyDescent="0.25">
      <c r="A18" s="380" t="s">
        <v>614</v>
      </c>
      <c r="B18" s="381"/>
      <c r="C18" s="381"/>
      <c r="D18" s="381"/>
      <c r="E18" s="381">
        <v>14.529217979999999</v>
      </c>
      <c r="F18" s="381"/>
      <c r="M18" s="4"/>
      <c r="N18" s="4"/>
      <c r="O18" s="4"/>
      <c r="P18" s="4"/>
      <c r="Q18" s="4"/>
    </row>
    <row r="19" spans="1:17" x14ac:dyDescent="0.25">
      <c r="A19" s="380" t="s">
        <v>522</v>
      </c>
      <c r="B19" s="381"/>
      <c r="C19" s="381"/>
      <c r="D19" s="381"/>
      <c r="E19" s="381">
        <v>0.45167873999999997</v>
      </c>
      <c r="F19" s="381"/>
      <c r="M19" s="4"/>
      <c r="N19" s="4"/>
      <c r="O19" s="4"/>
      <c r="P19" s="4"/>
      <c r="Q19" s="4"/>
    </row>
    <row r="20" spans="1:17" x14ac:dyDescent="0.25">
      <c r="A20" s="380" t="s">
        <v>252</v>
      </c>
      <c r="B20" s="381"/>
      <c r="C20" s="381"/>
      <c r="D20" s="381"/>
      <c r="E20" s="381">
        <v>4.07008013</v>
      </c>
      <c r="F20" s="381"/>
      <c r="M20" s="4"/>
      <c r="N20" s="4"/>
      <c r="O20" s="4"/>
      <c r="P20" s="4"/>
      <c r="Q20" s="4"/>
    </row>
    <row r="21" spans="1:17" x14ac:dyDescent="0.25">
      <c r="A21" s="380" t="s">
        <v>255</v>
      </c>
      <c r="B21" s="381">
        <v>110.46366178999997</v>
      </c>
      <c r="C21" s="381"/>
      <c r="D21" s="381"/>
      <c r="E21" s="381">
        <v>9.3000000000000005E-4</v>
      </c>
      <c r="F21" s="381"/>
      <c r="M21" s="4"/>
      <c r="N21" s="4"/>
      <c r="O21" s="4"/>
      <c r="P21" s="4"/>
      <c r="Q21" s="4"/>
    </row>
    <row r="22" spans="1:17" x14ac:dyDescent="0.25">
      <c r="A22" s="380" t="s">
        <v>258</v>
      </c>
      <c r="B22" s="381">
        <v>49.989334759999991</v>
      </c>
      <c r="C22" s="381"/>
      <c r="D22" s="381"/>
      <c r="E22" s="381"/>
      <c r="F22" s="381"/>
      <c r="M22" s="4"/>
      <c r="N22" s="4"/>
      <c r="O22" s="4"/>
      <c r="P22" s="4"/>
      <c r="Q22" s="4"/>
    </row>
    <row r="23" spans="1:17" x14ac:dyDescent="0.25">
      <c r="A23" s="380" t="s">
        <v>248</v>
      </c>
      <c r="B23" s="381">
        <v>46.13118369</v>
      </c>
      <c r="C23" s="381"/>
      <c r="D23" s="381"/>
      <c r="E23" s="381"/>
      <c r="F23" s="381"/>
      <c r="M23" s="4"/>
      <c r="N23" s="4"/>
      <c r="O23" s="4"/>
      <c r="P23" s="4"/>
      <c r="Q23" s="4"/>
    </row>
    <row r="24" spans="1:17" x14ac:dyDescent="0.25">
      <c r="A24" s="380" t="s">
        <v>259</v>
      </c>
      <c r="B24" s="381">
        <v>16.405310910000001</v>
      </c>
      <c r="C24" s="381"/>
      <c r="D24" s="381"/>
      <c r="E24" s="381"/>
      <c r="F24" s="381"/>
      <c r="M24" s="4"/>
      <c r="N24" s="4"/>
      <c r="O24" s="4"/>
      <c r="P24" s="4"/>
      <c r="Q24" s="4"/>
    </row>
    <row r="25" spans="1:17" x14ac:dyDescent="0.25">
      <c r="A25" s="380" t="s">
        <v>527</v>
      </c>
      <c r="B25" s="381">
        <v>16.341617769999999</v>
      </c>
      <c r="C25" s="381"/>
      <c r="D25" s="381">
        <v>9.4070069099999998</v>
      </c>
      <c r="E25" s="381"/>
      <c r="F25" s="381"/>
      <c r="M25" s="4"/>
      <c r="N25" s="4"/>
      <c r="O25" s="4"/>
      <c r="P25" s="4"/>
      <c r="Q25" s="4"/>
    </row>
    <row r="26" spans="1:17" x14ac:dyDescent="0.25">
      <c r="A26" s="380" t="s">
        <v>235</v>
      </c>
      <c r="B26" s="381">
        <v>108.47677750999998</v>
      </c>
      <c r="C26" s="381">
        <v>2.4382069999999999E-2</v>
      </c>
      <c r="D26" s="381">
        <v>118.22631523</v>
      </c>
      <c r="E26" s="381">
        <v>62.161713909999996</v>
      </c>
      <c r="F26" s="381">
        <v>1806.82536009</v>
      </c>
      <c r="M26" s="4"/>
      <c r="N26" s="4"/>
      <c r="O26" s="4"/>
      <c r="P26" s="4"/>
      <c r="Q26" s="4"/>
    </row>
    <row r="27" spans="1:17" x14ac:dyDescent="0.25">
      <c r="A27" s="380" t="s">
        <v>615</v>
      </c>
      <c r="B27" s="381">
        <v>406.61895982999994</v>
      </c>
      <c r="C27" s="381"/>
      <c r="D27" s="381"/>
      <c r="E27" s="381"/>
      <c r="F27" s="381"/>
      <c r="M27" s="4"/>
      <c r="N27" s="4"/>
      <c r="O27" s="4"/>
      <c r="P27" s="4"/>
      <c r="Q27" s="4"/>
    </row>
    <row r="28" spans="1:17" x14ac:dyDescent="0.25">
      <c r="A28" s="380" t="s">
        <v>613</v>
      </c>
      <c r="B28" s="381"/>
      <c r="C28" s="381"/>
      <c r="D28" s="381">
        <v>74.762787500000002</v>
      </c>
      <c r="E28" s="381"/>
      <c r="F28" s="381"/>
      <c r="M28" s="4"/>
      <c r="N28" s="4"/>
      <c r="O28" s="4"/>
      <c r="P28" s="4"/>
      <c r="Q28" s="4"/>
    </row>
    <row r="29" spans="1:17" x14ac:dyDescent="0.25">
      <c r="A29" s="380" t="s">
        <v>315</v>
      </c>
      <c r="B29" s="381">
        <v>5.9256878899999998</v>
      </c>
      <c r="C29" s="381"/>
      <c r="D29" s="381"/>
      <c r="E29" s="381"/>
      <c r="F29" s="381"/>
      <c r="M29" s="4"/>
      <c r="N29" s="4"/>
      <c r="O29" s="4"/>
      <c r="P29" s="4"/>
      <c r="Q29" s="4"/>
    </row>
    <row r="30" spans="1:17" x14ac:dyDescent="0.25">
      <c r="A30" s="380" t="s">
        <v>250</v>
      </c>
      <c r="B30" s="381"/>
      <c r="C30" s="381"/>
      <c r="D30" s="381"/>
      <c r="E30" s="381">
        <v>106.04810768</v>
      </c>
      <c r="F30" s="381"/>
      <c r="M30" s="4"/>
      <c r="N30" s="4"/>
      <c r="O30" s="4"/>
      <c r="P30" s="4"/>
      <c r="Q30" s="4"/>
    </row>
    <row r="31" spans="1:17" x14ac:dyDescent="0.25">
      <c r="A31" s="380" t="s">
        <v>334</v>
      </c>
      <c r="B31" s="381">
        <v>10.070783140000001</v>
      </c>
      <c r="C31" s="381"/>
      <c r="D31" s="381">
        <v>1.89E-3</v>
      </c>
      <c r="E31" s="381"/>
      <c r="F31" s="381"/>
      <c r="M31" s="4"/>
      <c r="N31" s="4"/>
      <c r="O31" s="4"/>
      <c r="P31" s="4"/>
      <c r="Q31" s="4"/>
    </row>
    <row r="32" spans="1:17" x14ac:dyDescent="0.25">
      <c r="A32" s="380" t="s">
        <v>616</v>
      </c>
      <c r="B32" s="381"/>
      <c r="C32" s="381"/>
      <c r="D32" s="381"/>
      <c r="E32" s="381">
        <v>6.5043553600000008</v>
      </c>
      <c r="F32" s="381"/>
      <c r="M32" s="4"/>
      <c r="N32" s="4"/>
      <c r="O32" s="4"/>
      <c r="P32" s="4"/>
      <c r="Q32" s="4"/>
    </row>
    <row r="33" spans="1:17" x14ac:dyDescent="0.25">
      <c r="A33" s="380" t="s">
        <v>247</v>
      </c>
      <c r="B33" s="381">
        <v>349.87009360999997</v>
      </c>
      <c r="C33" s="381"/>
      <c r="D33" s="381"/>
      <c r="E33" s="381"/>
      <c r="F33" s="381"/>
      <c r="M33" s="4"/>
      <c r="N33" s="4"/>
      <c r="O33" s="4"/>
      <c r="P33" s="4"/>
      <c r="Q33" s="4"/>
    </row>
    <row r="34" spans="1:17" x14ac:dyDescent="0.25">
      <c r="A34" s="380" t="s">
        <v>253</v>
      </c>
      <c r="B34" s="381">
        <v>12.110488800000001</v>
      </c>
      <c r="C34" s="381"/>
      <c r="D34" s="381"/>
      <c r="E34" s="381"/>
      <c r="F34" s="381"/>
      <c r="M34" s="4"/>
      <c r="N34" s="4"/>
      <c r="O34" s="4"/>
      <c r="P34" s="4"/>
      <c r="Q34" s="4"/>
    </row>
    <row r="35" spans="1:17" x14ac:dyDescent="0.25">
      <c r="M35" s="4"/>
      <c r="N35" s="4"/>
      <c r="O35" s="4"/>
      <c r="P35" s="4"/>
      <c r="Q35" s="4"/>
    </row>
  </sheetData>
  <mergeCells count="1">
    <mergeCell ref="A1:B1"/>
  </mergeCells>
  <hyperlinks>
    <hyperlink ref="H1" location="'Table of Content'!A1" display="Table of Content" xr:uid="{556286C7-57EC-434B-BA93-93EDBE79960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218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257" bestFit="1" customWidth="1"/>
    <col min="2" max="2" width="29.81640625" style="377" customWidth="1"/>
    <col min="3" max="3" width="17.54296875" style="377" bestFit="1" customWidth="1"/>
    <col min="4" max="4" width="30.26953125" style="377" customWidth="1"/>
    <col min="5" max="5" width="21.54296875" style="377" customWidth="1"/>
    <col min="6" max="6" width="40" style="377" bestFit="1" customWidth="1"/>
    <col min="7" max="16384" width="8.81640625" style="257"/>
  </cols>
  <sheetData>
    <row r="1" spans="1:16" ht="13" x14ac:dyDescent="0.3">
      <c r="A1" s="622" t="s">
        <v>646</v>
      </c>
      <c r="B1" s="622"/>
      <c r="C1" s="622"/>
      <c r="H1" s="621" t="s">
        <v>239</v>
      </c>
      <c r="I1" s="621"/>
    </row>
    <row r="2" spans="1:16" s="259" customFormat="1" ht="13" x14ac:dyDescent="0.3">
      <c r="A2" s="312" t="s">
        <v>626</v>
      </c>
      <c r="B2" s="388" t="s">
        <v>742</v>
      </c>
      <c r="C2" s="388" t="s">
        <v>734</v>
      </c>
      <c r="D2" s="388" t="s">
        <v>970</v>
      </c>
      <c r="E2" s="388" t="s">
        <v>732</v>
      </c>
      <c r="F2" s="388" t="s">
        <v>979</v>
      </c>
    </row>
    <row r="3" spans="1:16" x14ac:dyDescent="0.25">
      <c r="A3" s="378" t="s">
        <v>251</v>
      </c>
      <c r="B3" s="379"/>
      <c r="C3" s="379"/>
      <c r="D3" s="379"/>
      <c r="E3" s="379">
        <v>137.03005074000001</v>
      </c>
      <c r="F3" s="379"/>
    </row>
    <row r="4" spans="1:16" x14ac:dyDescent="0.25">
      <c r="A4" s="380" t="s">
        <v>548</v>
      </c>
      <c r="B4" s="381"/>
      <c r="C4" s="381"/>
      <c r="D4" s="381"/>
      <c r="E4" s="381"/>
      <c r="F4" s="381">
        <v>0.40338299999999999</v>
      </c>
      <c r="L4" s="377"/>
      <c r="M4" s="377"/>
      <c r="N4" s="377"/>
      <c r="O4" s="377"/>
      <c r="P4" s="377"/>
    </row>
    <row r="5" spans="1:16" x14ac:dyDescent="0.25">
      <c r="A5" s="380" t="s">
        <v>245</v>
      </c>
      <c r="B5" s="381"/>
      <c r="C5" s="381"/>
      <c r="D5" s="381"/>
      <c r="E5" s="381"/>
      <c r="F5" s="381">
        <v>180.04354140999993</v>
      </c>
      <c r="L5" s="377"/>
      <c r="M5" s="377"/>
      <c r="N5" s="377"/>
      <c r="O5" s="377"/>
      <c r="P5" s="377"/>
    </row>
    <row r="6" spans="1:16" x14ac:dyDescent="0.25">
      <c r="A6" s="380" t="s">
        <v>612</v>
      </c>
      <c r="B6" s="381"/>
      <c r="C6" s="381"/>
      <c r="D6" s="381"/>
      <c r="E6" s="381">
        <v>14.74982982</v>
      </c>
      <c r="F6" s="381"/>
      <c r="L6" s="377"/>
      <c r="M6" s="377"/>
      <c r="N6" s="377"/>
      <c r="O6" s="377"/>
      <c r="P6" s="377"/>
    </row>
    <row r="7" spans="1:16" x14ac:dyDescent="0.25">
      <c r="A7" s="380" t="s">
        <v>559</v>
      </c>
      <c r="B7" s="381"/>
      <c r="C7" s="381">
        <v>84.147375749999995</v>
      </c>
      <c r="D7" s="381"/>
      <c r="E7" s="381"/>
      <c r="F7" s="381"/>
      <c r="L7" s="377"/>
      <c r="M7" s="377"/>
      <c r="N7" s="377"/>
      <c r="O7" s="377"/>
      <c r="P7" s="377"/>
    </row>
    <row r="8" spans="1:16" x14ac:dyDescent="0.25">
      <c r="A8" s="380" t="s">
        <v>266</v>
      </c>
      <c r="B8" s="381"/>
      <c r="C8" s="381"/>
      <c r="D8" s="381">
        <v>588.17935307999994</v>
      </c>
      <c r="E8" s="381"/>
      <c r="F8" s="381"/>
      <c r="L8" s="377"/>
      <c r="M8" s="377"/>
      <c r="N8" s="377"/>
      <c r="O8" s="377"/>
      <c r="P8" s="377"/>
    </row>
    <row r="9" spans="1:16" x14ac:dyDescent="0.25">
      <c r="A9" s="380" t="s">
        <v>246</v>
      </c>
      <c r="B9" s="381"/>
      <c r="C9" s="381"/>
      <c r="D9" s="381">
        <v>63.812225670000004</v>
      </c>
      <c r="E9" s="381">
        <v>64.894964029999983</v>
      </c>
      <c r="F9" s="381"/>
      <c r="L9" s="377"/>
      <c r="M9" s="377"/>
      <c r="N9" s="377"/>
      <c r="O9" s="377"/>
      <c r="P9" s="377"/>
    </row>
    <row r="10" spans="1:16" x14ac:dyDescent="0.25">
      <c r="A10" s="380" t="s">
        <v>249</v>
      </c>
      <c r="B10" s="381">
        <v>34.276471520000001</v>
      </c>
      <c r="C10" s="381"/>
      <c r="D10" s="381"/>
      <c r="E10" s="381"/>
      <c r="F10" s="381"/>
      <c r="L10" s="377"/>
      <c r="M10" s="377"/>
      <c r="N10" s="377"/>
      <c r="O10" s="377"/>
      <c r="P10" s="377"/>
    </row>
    <row r="11" spans="1:16" x14ac:dyDescent="0.25">
      <c r="A11" s="380" t="s">
        <v>311</v>
      </c>
      <c r="B11" s="381"/>
      <c r="C11" s="381"/>
      <c r="D11" s="381"/>
      <c r="E11" s="381"/>
      <c r="F11" s="381">
        <v>1.1416225400000002</v>
      </c>
      <c r="L11" s="377"/>
      <c r="M11" s="377"/>
      <c r="N11" s="377"/>
      <c r="O11" s="377"/>
      <c r="P11" s="377"/>
    </row>
    <row r="12" spans="1:16" x14ac:dyDescent="0.25">
      <c r="A12" s="380" t="s">
        <v>295</v>
      </c>
      <c r="B12" s="381"/>
      <c r="C12" s="381"/>
      <c r="D12" s="381"/>
      <c r="E12" s="381"/>
      <c r="F12" s="381">
        <v>2.4873454399999999</v>
      </c>
      <c r="L12" s="377"/>
      <c r="M12" s="377"/>
      <c r="N12" s="377"/>
      <c r="O12" s="377"/>
      <c r="P12" s="377"/>
    </row>
    <row r="13" spans="1:16" x14ac:dyDescent="0.25">
      <c r="A13" s="380" t="s">
        <v>285</v>
      </c>
      <c r="B13" s="381"/>
      <c r="C13" s="381">
        <v>81.170738010000008</v>
      </c>
      <c r="D13" s="381"/>
      <c r="E13" s="381"/>
      <c r="F13" s="381"/>
      <c r="L13" s="377"/>
      <c r="M13" s="377"/>
      <c r="N13" s="377"/>
      <c r="O13" s="377"/>
      <c r="P13" s="377"/>
    </row>
    <row r="14" spans="1:16" x14ac:dyDescent="0.25">
      <c r="A14" s="380" t="s">
        <v>519</v>
      </c>
      <c r="B14" s="381"/>
      <c r="C14" s="381"/>
      <c r="D14" s="381"/>
      <c r="E14" s="381"/>
      <c r="F14" s="381">
        <v>0.39725199999999999</v>
      </c>
      <c r="L14" s="377"/>
      <c r="M14" s="377"/>
      <c r="N14" s="377"/>
      <c r="O14" s="377"/>
      <c r="P14" s="377"/>
    </row>
    <row r="15" spans="1:16" x14ac:dyDescent="0.25">
      <c r="A15" s="380" t="s">
        <v>611</v>
      </c>
      <c r="B15" s="381"/>
      <c r="C15" s="381"/>
      <c r="D15" s="381"/>
      <c r="E15" s="381"/>
      <c r="F15" s="381">
        <v>0.84792975000000004</v>
      </c>
      <c r="L15" s="377"/>
      <c r="M15" s="377"/>
      <c r="N15" s="377"/>
      <c r="O15" s="377"/>
      <c r="P15" s="377"/>
    </row>
    <row r="16" spans="1:16" x14ac:dyDescent="0.25">
      <c r="A16" s="380" t="s">
        <v>259</v>
      </c>
      <c r="B16" s="381"/>
      <c r="C16" s="381"/>
      <c r="D16" s="381"/>
      <c r="E16" s="381"/>
      <c r="F16" s="381">
        <v>1.3829003400000002</v>
      </c>
      <c r="L16" s="377"/>
      <c r="M16" s="377"/>
      <c r="N16" s="377"/>
      <c r="O16" s="377"/>
      <c r="P16" s="377"/>
    </row>
    <row r="17" spans="1:16" x14ac:dyDescent="0.25">
      <c r="A17" s="380" t="s">
        <v>235</v>
      </c>
      <c r="B17" s="381"/>
      <c r="C17" s="381"/>
      <c r="D17" s="381"/>
      <c r="E17" s="381">
        <v>118.22503023</v>
      </c>
      <c r="F17" s="381"/>
      <c r="L17" s="377"/>
      <c r="M17" s="377"/>
      <c r="N17" s="377"/>
      <c r="O17" s="377"/>
      <c r="P17" s="377"/>
    </row>
    <row r="18" spans="1:16" x14ac:dyDescent="0.25">
      <c r="A18" s="380" t="s">
        <v>615</v>
      </c>
      <c r="B18" s="381"/>
      <c r="C18" s="381"/>
      <c r="D18" s="381"/>
      <c r="E18" s="381"/>
      <c r="F18" s="381">
        <v>4.0565507599999995</v>
      </c>
      <c r="L18" s="377"/>
      <c r="M18" s="377"/>
      <c r="N18" s="377"/>
      <c r="O18" s="377"/>
      <c r="P18" s="377"/>
    </row>
    <row r="19" spans="1:16" x14ac:dyDescent="0.25">
      <c r="A19" s="380" t="s">
        <v>616</v>
      </c>
      <c r="B19" s="381"/>
      <c r="C19" s="381"/>
      <c r="D19" s="381"/>
      <c r="E19" s="381"/>
      <c r="F19" s="381">
        <v>0.34666660999999999</v>
      </c>
      <c r="L19" s="377"/>
      <c r="M19" s="377"/>
      <c r="N19" s="377"/>
      <c r="O19" s="377"/>
      <c r="P19" s="377"/>
    </row>
    <row r="20" spans="1:16" ht="13.5" customHeight="1" x14ac:dyDescent="0.25">
      <c r="A20" s="380" t="s">
        <v>247</v>
      </c>
      <c r="B20" s="381">
        <v>137.84808268</v>
      </c>
      <c r="C20" s="381"/>
      <c r="D20" s="381"/>
      <c r="E20" s="381"/>
      <c r="F20" s="381">
        <v>117.53465536999997</v>
      </c>
      <c r="L20" s="377"/>
      <c r="M20" s="377"/>
      <c r="N20" s="377"/>
      <c r="O20" s="377"/>
      <c r="P20" s="377"/>
    </row>
    <row r="21" spans="1:16" x14ac:dyDescent="0.25">
      <c r="L21" s="377"/>
      <c r="M21" s="377"/>
      <c r="N21" s="377"/>
      <c r="O21" s="377"/>
      <c r="P21" s="377"/>
    </row>
    <row r="59" spans="1:1" x14ac:dyDescent="0.25">
      <c r="A59" s="258"/>
    </row>
    <row r="60" spans="1:1" x14ac:dyDescent="0.25">
      <c r="A60" s="258"/>
    </row>
    <row r="61" spans="1:1" x14ac:dyDescent="0.25">
      <c r="A61" s="258"/>
    </row>
    <row r="62" spans="1:1" x14ac:dyDescent="0.25">
      <c r="A62" s="258"/>
    </row>
    <row r="63" spans="1:1" x14ac:dyDescent="0.25">
      <c r="A63" s="258"/>
    </row>
    <row r="64" spans="1:1" x14ac:dyDescent="0.25">
      <c r="A64" s="258"/>
    </row>
    <row r="65" spans="1:1" x14ac:dyDescent="0.25">
      <c r="A65" s="258"/>
    </row>
    <row r="66" spans="1:1" x14ac:dyDescent="0.25">
      <c r="A66" s="258"/>
    </row>
    <row r="67" spans="1:1" x14ac:dyDescent="0.25">
      <c r="A67" s="258"/>
    </row>
    <row r="68" spans="1:1" x14ac:dyDescent="0.25">
      <c r="A68" s="258"/>
    </row>
    <row r="69" spans="1:1" x14ac:dyDescent="0.25">
      <c r="A69" s="258"/>
    </row>
    <row r="70" spans="1:1" x14ac:dyDescent="0.25">
      <c r="A70" s="258"/>
    </row>
    <row r="71" spans="1:1" x14ac:dyDescent="0.25">
      <c r="A71" s="258"/>
    </row>
    <row r="72" spans="1:1" x14ac:dyDescent="0.25">
      <c r="A72" s="258"/>
    </row>
    <row r="73" spans="1:1" x14ac:dyDescent="0.25">
      <c r="A73" s="258"/>
    </row>
    <row r="74" spans="1:1" x14ac:dyDescent="0.25">
      <c r="A74" s="258"/>
    </row>
    <row r="75" spans="1:1" x14ac:dyDescent="0.25">
      <c r="A75" s="258"/>
    </row>
    <row r="76" spans="1:1" x14ac:dyDescent="0.25">
      <c r="A76" s="258"/>
    </row>
    <row r="77" spans="1:1" x14ac:dyDescent="0.25">
      <c r="A77" s="258"/>
    </row>
    <row r="78" spans="1:1" x14ac:dyDescent="0.25">
      <c r="A78" s="258"/>
    </row>
    <row r="79" spans="1:1" x14ac:dyDescent="0.25">
      <c r="A79" s="258"/>
    </row>
    <row r="80" spans="1:1" x14ac:dyDescent="0.25">
      <c r="A80" s="258"/>
    </row>
    <row r="81" spans="1:1" x14ac:dyDescent="0.25">
      <c r="A81" s="258"/>
    </row>
    <row r="82" spans="1:1" x14ac:dyDescent="0.25">
      <c r="A82" s="258"/>
    </row>
    <row r="83" spans="1:1" x14ac:dyDescent="0.25">
      <c r="A83" s="258"/>
    </row>
    <row r="84" spans="1:1" x14ac:dyDescent="0.25">
      <c r="A84" s="258"/>
    </row>
    <row r="85" spans="1:1" x14ac:dyDescent="0.25">
      <c r="A85" s="258"/>
    </row>
    <row r="86" spans="1:1" x14ac:dyDescent="0.25">
      <c r="A86" s="258"/>
    </row>
    <row r="87" spans="1:1" x14ac:dyDescent="0.25">
      <c r="A87" s="258"/>
    </row>
    <row r="88" spans="1:1" x14ac:dyDescent="0.25">
      <c r="A88" s="258"/>
    </row>
    <row r="89" spans="1:1" x14ac:dyDescent="0.25">
      <c r="A89" s="258"/>
    </row>
    <row r="90" spans="1:1" x14ac:dyDescent="0.25">
      <c r="A90" s="258"/>
    </row>
    <row r="123" spans="1:1" x14ac:dyDescent="0.25">
      <c r="A123" s="258"/>
    </row>
    <row r="124" spans="1:1" x14ac:dyDescent="0.25">
      <c r="A124" s="258"/>
    </row>
    <row r="125" spans="1:1" x14ac:dyDescent="0.25">
      <c r="A125" s="258"/>
    </row>
    <row r="126" spans="1:1" x14ac:dyDescent="0.25">
      <c r="A126" s="258"/>
    </row>
    <row r="127" spans="1:1" x14ac:dyDescent="0.25">
      <c r="A127" s="258"/>
    </row>
    <row r="128" spans="1:1" x14ac:dyDescent="0.25">
      <c r="A128" s="258"/>
    </row>
    <row r="129" spans="1:1" x14ac:dyDescent="0.25">
      <c r="A129" s="258"/>
    </row>
    <row r="130" spans="1:1" x14ac:dyDescent="0.25">
      <c r="A130" s="258"/>
    </row>
    <row r="131" spans="1:1" x14ac:dyDescent="0.25">
      <c r="A131" s="258"/>
    </row>
    <row r="132" spans="1:1" x14ac:dyDescent="0.25">
      <c r="A132" s="258"/>
    </row>
    <row r="133" spans="1:1" x14ac:dyDescent="0.25">
      <c r="A133" s="258"/>
    </row>
    <row r="134" spans="1:1" x14ac:dyDescent="0.25">
      <c r="A134" s="258"/>
    </row>
    <row r="135" spans="1:1" x14ac:dyDescent="0.25">
      <c r="A135" s="258"/>
    </row>
    <row r="136" spans="1:1" x14ac:dyDescent="0.25">
      <c r="A136" s="258"/>
    </row>
    <row r="137" spans="1:1" x14ac:dyDescent="0.25">
      <c r="A137" s="258"/>
    </row>
    <row r="138" spans="1:1" x14ac:dyDescent="0.25">
      <c r="A138" s="258"/>
    </row>
    <row r="139" spans="1:1" x14ac:dyDescent="0.25">
      <c r="A139" s="258"/>
    </row>
    <row r="140" spans="1:1" x14ac:dyDescent="0.25">
      <c r="A140" s="258"/>
    </row>
    <row r="141" spans="1:1" x14ac:dyDescent="0.25">
      <c r="A141" s="258"/>
    </row>
    <row r="142" spans="1:1" x14ac:dyDescent="0.25">
      <c r="A142" s="258"/>
    </row>
    <row r="143" spans="1:1" x14ac:dyDescent="0.25">
      <c r="A143" s="258"/>
    </row>
    <row r="144" spans="1:1" x14ac:dyDescent="0.25">
      <c r="A144" s="258"/>
    </row>
    <row r="145" spans="1:1" x14ac:dyDescent="0.25">
      <c r="A145" s="258"/>
    </row>
    <row r="146" spans="1:1" x14ac:dyDescent="0.25">
      <c r="A146" s="258"/>
    </row>
    <row r="147" spans="1:1" x14ac:dyDescent="0.25">
      <c r="A147" s="258"/>
    </row>
    <row r="148" spans="1:1" x14ac:dyDescent="0.25">
      <c r="A148" s="258"/>
    </row>
    <row r="149" spans="1:1" x14ac:dyDescent="0.25">
      <c r="A149" s="258"/>
    </row>
    <row r="150" spans="1:1" x14ac:dyDescent="0.25">
      <c r="A150" s="258"/>
    </row>
    <row r="151" spans="1:1" x14ac:dyDescent="0.25">
      <c r="A151" s="258"/>
    </row>
    <row r="152" spans="1:1" x14ac:dyDescent="0.25">
      <c r="A152" s="258"/>
    </row>
    <row r="153" spans="1:1" x14ac:dyDescent="0.25">
      <c r="A153" s="258"/>
    </row>
    <row r="154" spans="1:1" x14ac:dyDescent="0.25">
      <c r="A154" s="258"/>
    </row>
    <row r="187" spans="1:1" x14ac:dyDescent="0.25">
      <c r="A187" s="258"/>
    </row>
    <row r="188" spans="1:1" x14ac:dyDescent="0.25">
      <c r="A188" s="258"/>
    </row>
    <row r="189" spans="1:1" x14ac:dyDescent="0.25">
      <c r="A189" s="258"/>
    </row>
    <row r="190" spans="1:1" x14ac:dyDescent="0.25">
      <c r="A190" s="258"/>
    </row>
    <row r="191" spans="1:1" x14ac:dyDescent="0.25">
      <c r="A191" s="258"/>
    </row>
    <row r="192" spans="1:1" x14ac:dyDescent="0.25">
      <c r="A192" s="258"/>
    </row>
    <row r="193" spans="1:1" x14ac:dyDescent="0.25">
      <c r="A193" s="258"/>
    </row>
    <row r="194" spans="1:1" x14ac:dyDescent="0.25">
      <c r="A194" s="258"/>
    </row>
    <row r="195" spans="1:1" x14ac:dyDescent="0.25">
      <c r="A195" s="258"/>
    </row>
    <row r="196" spans="1:1" x14ac:dyDescent="0.25">
      <c r="A196" s="258"/>
    </row>
    <row r="197" spans="1:1" x14ac:dyDescent="0.25">
      <c r="A197" s="258"/>
    </row>
    <row r="198" spans="1:1" x14ac:dyDescent="0.25">
      <c r="A198" s="258"/>
    </row>
    <row r="199" spans="1:1" x14ac:dyDescent="0.25">
      <c r="A199" s="258"/>
    </row>
    <row r="200" spans="1:1" x14ac:dyDescent="0.25">
      <c r="A200" s="258"/>
    </row>
    <row r="201" spans="1:1" x14ac:dyDescent="0.25">
      <c r="A201" s="258"/>
    </row>
    <row r="202" spans="1:1" x14ac:dyDescent="0.25">
      <c r="A202" s="258"/>
    </row>
    <row r="203" spans="1:1" x14ac:dyDescent="0.25">
      <c r="A203" s="258"/>
    </row>
    <row r="204" spans="1:1" x14ac:dyDescent="0.25">
      <c r="A204" s="258"/>
    </row>
    <row r="205" spans="1:1" x14ac:dyDescent="0.25">
      <c r="A205" s="258"/>
    </row>
    <row r="206" spans="1:1" x14ac:dyDescent="0.25">
      <c r="A206" s="258"/>
    </row>
    <row r="207" spans="1:1" x14ac:dyDescent="0.25">
      <c r="A207" s="258"/>
    </row>
    <row r="208" spans="1:1" x14ac:dyDescent="0.25">
      <c r="A208" s="258"/>
    </row>
    <row r="209" spans="1:1" x14ac:dyDescent="0.25">
      <c r="A209" s="258"/>
    </row>
    <row r="210" spans="1:1" x14ac:dyDescent="0.25">
      <c r="A210" s="258"/>
    </row>
    <row r="211" spans="1:1" x14ac:dyDescent="0.25">
      <c r="A211" s="258"/>
    </row>
    <row r="212" spans="1:1" x14ac:dyDescent="0.25">
      <c r="A212" s="258"/>
    </row>
    <row r="213" spans="1:1" x14ac:dyDescent="0.25">
      <c r="A213" s="258"/>
    </row>
    <row r="214" spans="1:1" x14ac:dyDescent="0.25">
      <c r="A214" s="258"/>
    </row>
    <row r="215" spans="1:1" x14ac:dyDescent="0.25">
      <c r="A215" s="258"/>
    </row>
    <row r="216" spans="1:1" x14ac:dyDescent="0.25">
      <c r="A216" s="258"/>
    </row>
    <row r="217" spans="1:1" x14ac:dyDescent="0.25">
      <c r="A217" s="258"/>
    </row>
    <row r="218" spans="1:1" x14ac:dyDescent="0.25">
      <c r="A218" s="258"/>
    </row>
  </sheetData>
  <mergeCells count="2">
    <mergeCell ref="H1:I1"/>
    <mergeCell ref="A1:C1"/>
  </mergeCells>
  <hyperlinks>
    <hyperlink ref="H1" location="'Table of Content'!A1" display="Table of Content" xr:uid="{93205F22-92CC-495E-9645-4EEB29F4F27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3"/>
  <sheetViews>
    <sheetView zoomScaleNormal="100" workbookViewId="0">
      <selection activeCell="D24" sqref="D24"/>
    </sheetView>
  </sheetViews>
  <sheetFormatPr defaultColWidth="8.81640625" defaultRowHeight="12.5" x14ac:dyDescent="0.25"/>
  <cols>
    <col min="1" max="1" width="31.6328125" style="30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38.1796875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191" t="s">
        <v>239</v>
      </c>
    </row>
    <row r="2" spans="1:11" ht="13" x14ac:dyDescent="0.3">
      <c r="A2" s="573" t="s">
        <v>713</v>
      </c>
      <c r="B2" s="574"/>
      <c r="C2" s="574"/>
      <c r="D2" s="574"/>
      <c r="E2" s="575"/>
      <c r="F2" s="190"/>
    </row>
    <row r="3" spans="1:11" s="31" customFormat="1" ht="26" x14ac:dyDescent="0.25">
      <c r="A3" s="267" t="s">
        <v>218</v>
      </c>
      <c r="B3" s="308" t="s">
        <v>661</v>
      </c>
      <c r="C3" s="308" t="s">
        <v>714</v>
      </c>
      <c r="D3" s="267" t="s">
        <v>467</v>
      </c>
      <c r="E3" s="267" t="s">
        <v>471</v>
      </c>
      <c r="F3" s="189"/>
      <c r="G3" s="189"/>
      <c r="H3" s="189"/>
      <c r="I3" s="189"/>
    </row>
    <row r="4" spans="1:11" ht="12.5" customHeight="1" x14ac:dyDescent="0.25">
      <c r="A4" s="188" t="s">
        <v>243</v>
      </c>
      <c r="B4" s="268">
        <f>B213</f>
        <v>10715.049828790003</v>
      </c>
      <c r="C4" s="268">
        <f>C213</f>
        <v>10715.369058170001</v>
      </c>
      <c r="D4" s="299">
        <f>C4-B4</f>
        <v>0.31922937999843271</v>
      </c>
      <c r="E4" s="187">
        <f>(C4/B4)-1</f>
        <v>2.9792617402657484E-5</v>
      </c>
    </row>
    <row r="5" spans="1:11" x14ac:dyDescent="0.25">
      <c r="A5" s="188" t="s">
        <v>219</v>
      </c>
      <c r="B5" s="268">
        <f>G255</f>
        <v>11108.350413901095</v>
      </c>
      <c r="C5" s="268">
        <f>H255</f>
        <v>11106.106186861096</v>
      </c>
      <c r="D5" s="299">
        <f>C5-B5</f>
        <v>-2.2442270399988047</v>
      </c>
      <c r="E5" s="187">
        <f>(C5/B5)-1</f>
        <v>-2.0203063068580107E-4</v>
      </c>
    </row>
    <row r="6" spans="1:11" ht="13" x14ac:dyDescent="0.3">
      <c r="A6" s="186" t="s">
        <v>459</v>
      </c>
      <c r="B6" s="270">
        <f>(B4-B5)</f>
        <v>-393.300585111092</v>
      </c>
      <c r="C6" s="269">
        <f>(C4-C5)</f>
        <v>-390.73712869109477</v>
      </c>
      <c r="D6" s="300">
        <f>C6-B6</f>
        <v>2.5634564199972374</v>
      </c>
      <c r="E6" s="185">
        <f>(C6/B6)-1</f>
        <v>-6.5178047453785526E-3</v>
      </c>
    </row>
    <row r="7" spans="1:11" ht="13" x14ac:dyDescent="0.3">
      <c r="A7" s="32"/>
      <c r="B7" s="183"/>
      <c r="C7" s="183"/>
      <c r="D7" s="183"/>
      <c r="E7" s="182"/>
    </row>
    <row r="8" spans="1:11" ht="13" x14ac:dyDescent="0.3">
      <c r="A8" s="32"/>
      <c r="B8" s="184"/>
      <c r="C8" s="184"/>
      <c r="D8" s="183"/>
      <c r="E8" s="182"/>
    </row>
    <row r="9" spans="1:11" ht="13" x14ac:dyDescent="0.3">
      <c r="A9" s="576" t="s">
        <v>470</v>
      </c>
      <c r="B9" s="577"/>
      <c r="C9" s="577"/>
      <c r="D9" s="578"/>
      <c r="F9" s="579" t="s">
        <v>469</v>
      </c>
      <c r="G9" s="580"/>
      <c r="H9" s="580"/>
      <c r="I9" s="581"/>
    </row>
    <row r="10" spans="1:11" s="33" customFormat="1" ht="26" x14ac:dyDescent="0.35">
      <c r="A10" s="275" t="s">
        <v>468</v>
      </c>
      <c r="B10" s="308" t="s">
        <v>661</v>
      </c>
      <c r="C10" s="308" t="s">
        <v>714</v>
      </c>
      <c r="D10" s="273" t="s">
        <v>467</v>
      </c>
      <c r="E10" s="272"/>
      <c r="F10" s="274" t="s">
        <v>468</v>
      </c>
      <c r="G10" s="308" t="s">
        <v>661</v>
      </c>
      <c r="H10" s="308" t="s">
        <v>714</v>
      </c>
      <c r="I10" s="276" t="s">
        <v>467</v>
      </c>
      <c r="J10" s="272"/>
    </row>
    <row r="11" spans="1:11" s="30" customFormat="1" ht="14.5" x14ac:dyDescent="0.35">
      <c r="A11" s="491" t="s">
        <v>18</v>
      </c>
      <c r="B11" s="492">
        <v>808.20010996999986</v>
      </c>
      <c r="C11" s="567">
        <v>808.47910996999997</v>
      </c>
      <c r="D11" s="354">
        <f t="shared" ref="D11:D74" si="0">C11-B11</f>
        <v>0.27900000000011005</v>
      </c>
      <c r="E11" s="569"/>
      <c r="F11" s="439" t="s">
        <v>62</v>
      </c>
      <c r="G11" s="499">
        <v>1520.9297037200001</v>
      </c>
      <c r="H11" s="493">
        <v>1515.9172037200003</v>
      </c>
      <c r="I11" s="354">
        <f t="shared" ref="I11:I74" si="1">H11-G11</f>
        <v>-5.0124999999998181</v>
      </c>
      <c r="J11" s="271"/>
    </row>
    <row r="12" spans="1:11" s="30" customFormat="1" ht="14.5" x14ac:dyDescent="0.35">
      <c r="A12" s="363" t="s">
        <v>350</v>
      </c>
      <c r="B12" s="494">
        <v>0.28052933000000002</v>
      </c>
      <c r="C12" s="568">
        <v>0.32260873000000001</v>
      </c>
      <c r="D12" s="354">
        <f t="shared" si="0"/>
        <v>4.2079399999999989E-2</v>
      </c>
      <c r="E12" s="569"/>
      <c r="F12" s="386" t="s">
        <v>101</v>
      </c>
      <c r="G12" s="500">
        <v>185.09811243000001</v>
      </c>
      <c r="H12" s="495">
        <v>184.83260743000011</v>
      </c>
      <c r="I12" s="354">
        <f t="shared" si="1"/>
        <v>-0.26550499999990507</v>
      </c>
      <c r="J12" s="271"/>
    </row>
    <row r="13" spans="1:11" s="412" customFormat="1" ht="14.5" x14ac:dyDescent="0.35">
      <c r="A13" s="363" t="s">
        <v>36</v>
      </c>
      <c r="B13" s="494">
        <v>114.72217656999999</v>
      </c>
      <c r="C13" s="568">
        <v>114.73694433999998</v>
      </c>
      <c r="D13" s="354">
        <f t="shared" si="0"/>
        <v>1.4767769999991742E-2</v>
      </c>
      <c r="E13" s="59"/>
      <c r="F13" s="386" t="s">
        <v>180</v>
      </c>
      <c r="G13" s="500">
        <v>116.24247065</v>
      </c>
      <c r="H13" s="495">
        <v>116.19271725999985</v>
      </c>
      <c r="I13" s="410">
        <f t="shared" si="1"/>
        <v>-4.9753390000148556E-2</v>
      </c>
      <c r="J13" s="411"/>
    </row>
    <row r="14" spans="1:11" ht="12.5" customHeight="1" x14ac:dyDescent="0.35">
      <c r="A14" s="363" t="s">
        <v>11</v>
      </c>
      <c r="B14" s="494">
        <v>26.281435399999999</v>
      </c>
      <c r="C14" s="495">
        <v>26.284355060000003</v>
      </c>
      <c r="D14" s="354">
        <f t="shared" si="0"/>
        <v>2.9196600000034323E-3</v>
      </c>
      <c r="E14" s="34"/>
      <c r="F14" s="380" t="s">
        <v>166</v>
      </c>
      <c r="G14" s="500">
        <v>71.599558739999907</v>
      </c>
      <c r="H14" s="495">
        <v>71.57411467999998</v>
      </c>
      <c r="I14" s="354">
        <f t="shared" si="1"/>
        <v>-2.5444059999927049E-2</v>
      </c>
      <c r="J14" s="34"/>
    </row>
    <row r="15" spans="1:11" ht="12.5" customHeight="1" x14ac:dyDescent="0.35">
      <c r="A15" s="363" t="s">
        <v>2</v>
      </c>
      <c r="B15" s="494">
        <v>59.197480429999999</v>
      </c>
      <c r="C15" s="495">
        <v>59.200240049999998</v>
      </c>
      <c r="D15" s="354">
        <f t="shared" si="0"/>
        <v>2.7596199999990745E-3</v>
      </c>
      <c r="E15" s="34"/>
      <c r="F15" s="380" t="s">
        <v>151</v>
      </c>
      <c r="G15" s="500">
        <v>126.51568455</v>
      </c>
      <c r="H15" s="495">
        <v>126.51509630000004</v>
      </c>
      <c r="I15" s="354">
        <f t="shared" si="1"/>
        <v>-5.882499999643187E-4</v>
      </c>
      <c r="J15" s="34"/>
    </row>
    <row r="16" spans="1:11" ht="14.5" x14ac:dyDescent="0.35">
      <c r="A16" s="363" t="s">
        <v>8</v>
      </c>
      <c r="B16" s="494">
        <v>828.16448189999801</v>
      </c>
      <c r="C16" s="495">
        <v>828.16520183</v>
      </c>
      <c r="D16" s="354">
        <f t="shared" si="0"/>
        <v>7.1993000199199741E-4</v>
      </c>
      <c r="E16" s="395"/>
      <c r="F16" s="380" t="s">
        <v>83</v>
      </c>
      <c r="G16" s="500">
        <v>150.91212628999901</v>
      </c>
      <c r="H16" s="495">
        <v>150.91199796000009</v>
      </c>
      <c r="I16" s="354">
        <f t="shared" si="1"/>
        <v>-1.2832999891543295E-4</v>
      </c>
      <c r="J16" s="34"/>
    </row>
    <row r="17" spans="1:10" ht="14.5" x14ac:dyDescent="0.35">
      <c r="A17" s="363" t="s">
        <v>113</v>
      </c>
      <c r="B17" s="494">
        <v>4.1049780900000004</v>
      </c>
      <c r="C17" s="495">
        <v>4.1049780900000101</v>
      </c>
      <c r="D17" s="354">
        <f t="shared" si="0"/>
        <v>9.7699626167013776E-15</v>
      </c>
      <c r="E17" s="395"/>
      <c r="F17" s="380" t="s">
        <v>185</v>
      </c>
      <c r="G17" s="500">
        <v>58.736876299999999</v>
      </c>
      <c r="H17" s="495">
        <v>58.736776300000002</v>
      </c>
      <c r="I17" s="354">
        <f t="shared" si="1"/>
        <v>-9.9999999996214228E-5</v>
      </c>
      <c r="J17" s="34"/>
    </row>
    <row r="18" spans="1:10" ht="14.5" x14ac:dyDescent="0.35">
      <c r="A18" s="363" t="s">
        <v>0</v>
      </c>
      <c r="B18" s="494">
        <v>110.26615200000001</v>
      </c>
      <c r="C18" s="495">
        <v>110.26615200000002</v>
      </c>
      <c r="D18" s="354">
        <f t="shared" si="0"/>
        <v>0</v>
      </c>
      <c r="E18" s="395"/>
      <c r="F18" s="380" t="s">
        <v>174</v>
      </c>
      <c r="G18" s="500">
        <v>76.193186769999997</v>
      </c>
      <c r="H18" s="495">
        <v>76.193166770000005</v>
      </c>
      <c r="I18" s="354">
        <f t="shared" si="1"/>
        <v>-1.9999999992137418E-5</v>
      </c>
      <c r="J18" s="34"/>
    </row>
    <row r="19" spans="1:10" ht="14.5" x14ac:dyDescent="0.35">
      <c r="A19" s="363" t="s">
        <v>1</v>
      </c>
      <c r="B19" s="494">
        <v>209.88800456999999</v>
      </c>
      <c r="C19" s="495">
        <v>209.88800456999999</v>
      </c>
      <c r="D19" s="354">
        <f t="shared" si="0"/>
        <v>0</v>
      </c>
      <c r="E19" s="395"/>
      <c r="F19" s="380" t="s">
        <v>214</v>
      </c>
      <c r="G19" s="500">
        <v>46.433148280000097</v>
      </c>
      <c r="H19" s="495">
        <v>46.43313040999999</v>
      </c>
      <c r="I19" s="354">
        <f t="shared" si="1"/>
        <v>-1.787000010722295E-5</v>
      </c>
      <c r="J19" s="34"/>
    </row>
    <row r="20" spans="1:10" ht="14.5" x14ac:dyDescent="0.35">
      <c r="A20" s="363" t="s">
        <v>3</v>
      </c>
      <c r="B20" s="494">
        <v>0.88755947000000002</v>
      </c>
      <c r="C20" s="495">
        <v>0.88755946999999991</v>
      </c>
      <c r="D20" s="354">
        <f t="shared" si="0"/>
        <v>0</v>
      </c>
      <c r="E20" s="395"/>
      <c r="F20" s="380" t="s">
        <v>168</v>
      </c>
      <c r="G20" s="500">
        <v>13.74163957</v>
      </c>
      <c r="H20" s="495">
        <v>13.74163154</v>
      </c>
      <c r="I20" s="354">
        <f t="shared" si="1"/>
        <v>-8.0300000000477212E-6</v>
      </c>
      <c r="J20" s="34"/>
    </row>
    <row r="21" spans="1:10" ht="14.5" x14ac:dyDescent="0.35">
      <c r="A21" s="363" t="s">
        <v>4</v>
      </c>
      <c r="B21" s="494">
        <v>3.4866203999999996</v>
      </c>
      <c r="C21" s="495">
        <v>3.4866203999999996</v>
      </c>
      <c r="D21" s="354">
        <f t="shared" si="0"/>
        <v>0</v>
      </c>
      <c r="E21" s="395"/>
      <c r="F21" s="380" t="s">
        <v>193</v>
      </c>
      <c r="G21" s="500">
        <v>26.353957949999998</v>
      </c>
      <c r="H21" s="495">
        <v>26.353956379999978</v>
      </c>
      <c r="I21" s="354">
        <f t="shared" si="1"/>
        <v>-1.5700000197682584E-6</v>
      </c>
      <c r="J21" s="34"/>
    </row>
    <row r="22" spans="1:10" ht="14.5" x14ac:dyDescent="0.35">
      <c r="A22" s="363" t="s">
        <v>5</v>
      </c>
      <c r="B22" s="494">
        <v>0.42515496999999997</v>
      </c>
      <c r="C22" s="495">
        <v>0.42515497000000002</v>
      </c>
      <c r="D22" s="354">
        <f t="shared" si="0"/>
        <v>0</v>
      </c>
      <c r="E22" s="395"/>
      <c r="F22" s="380" t="s">
        <v>197</v>
      </c>
      <c r="G22" s="500">
        <v>24.5675613699999</v>
      </c>
      <c r="H22" s="495">
        <v>24.567560270000005</v>
      </c>
      <c r="I22" s="354">
        <f t="shared" si="1"/>
        <v>-1.0999998956151558E-6</v>
      </c>
      <c r="J22" s="34"/>
    </row>
    <row r="23" spans="1:10" ht="14.5" x14ac:dyDescent="0.35">
      <c r="A23" s="363" t="s">
        <v>6</v>
      </c>
      <c r="B23" s="494">
        <v>0.63403058000000001</v>
      </c>
      <c r="C23" s="495">
        <v>0.63403058000000012</v>
      </c>
      <c r="D23" s="354">
        <f t="shared" si="0"/>
        <v>0</v>
      </c>
      <c r="E23" s="395"/>
      <c r="F23" s="380" t="s">
        <v>195</v>
      </c>
      <c r="G23" s="500">
        <v>86.551855629999906</v>
      </c>
      <c r="H23" s="495">
        <v>86.551854760000026</v>
      </c>
      <c r="I23" s="354">
        <f t="shared" si="1"/>
        <v>-8.6999988013758411E-7</v>
      </c>
      <c r="J23" s="34"/>
    </row>
    <row r="24" spans="1:10" ht="14.5" x14ac:dyDescent="0.35">
      <c r="A24" s="363" t="s">
        <v>7</v>
      </c>
      <c r="B24" s="494">
        <v>5.1840000000000002E-3</v>
      </c>
      <c r="C24" s="495">
        <v>5.1840000000000002E-3</v>
      </c>
      <c r="D24" s="354">
        <f t="shared" si="0"/>
        <v>0</v>
      </c>
      <c r="E24" s="395"/>
      <c r="F24" s="380" t="s">
        <v>208</v>
      </c>
      <c r="G24" s="500">
        <v>141.36341994</v>
      </c>
      <c r="H24" s="495">
        <v>141.36341925999983</v>
      </c>
      <c r="I24" s="354">
        <f t="shared" si="1"/>
        <v>-6.8000016995029E-7</v>
      </c>
      <c r="J24" s="34"/>
    </row>
    <row r="25" spans="1:10" ht="14.5" x14ac:dyDescent="0.35">
      <c r="A25" s="363" t="s">
        <v>9</v>
      </c>
      <c r="B25" s="494">
        <v>13.882404359999999</v>
      </c>
      <c r="C25" s="495">
        <v>13.882404360000002</v>
      </c>
      <c r="D25" s="354">
        <f t="shared" si="0"/>
        <v>0</v>
      </c>
      <c r="E25" s="395"/>
      <c r="F25" s="380" t="s">
        <v>192</v>
      </c>
      <c r="G25" s="500">
        <v>42.867878299999902</v>
      </c>
      <c r="H25" s="495">
        <v>42.867877660000012</v>
      </c>
      <c r="I25" s="354">
        <f t="shared" si="1"/>
        <v>-6.3999988952900821E-7</v>
      </c>
      <c r="J25" s="34"/>
    </row>
    <row r="26" spans="1:10" ht="14.5" x14ac:dyDescent="0.35">
      <c r="A26" s="363" t="s">
        <v>10</v>
      </c>
      <c r="B26" s="494">
        <v>95.509415700000005</v>
      </c>
      <c r="C26" s="495">
        <v>95.509415700000005</v>
      </c>
      <c r="D26" s="354">
        <f t="shared" si="0"/>
        <v>0</v>
      </c>
      <c r="E26" s="395"/>
      <c r="F26" s="380" t="s">
        <v>190</v>
      </c>
      <c r="G26" s="500">
        <v>33.926941219999996</v>
      </c>
      <c r="H26" s="495">
        <v>33.926940729999991</v>
      </c>
      <c r="I26" s="354">
        <f t="shared" si="1"/>
        <v>-4.90000005015645E-7</v>
      </c>
      <c r="J26" s="34"/>
    </row>
    <row r="27" spans="1:10" ht="14.5" x14ac:dyDescent="0.35">
      <c r="A27" s="363" t="s">
        <v>12</v>
      </c>
      <c r="B27" s="494">
        <v>0.15426881000000001</v>
      </c>
      <c r="C27" s="495">
        <v>0.15426881000000001</v>
      </c>
      <c r="D27" s="354">
        <f t="shared" si="0"/>
        <v>0</v>
      </c>
      <c r="E27" s="395"/>
      <c r="F27" s="380" t="s">
        <v>191</v>
      </c>
      <c r="G27" s="500">
        <v>57.158914550000098</v>
      </c>
      <c r="H27" s="495">
        <v>57.158914109999969</v>
      </c>
      <c r="I27" s="354">
        <f t="shared" si="1"/>
        <v>-4.4000012877631889E-7</v>
      </c>
      <c r="J27" s="34"/>
    </row>
    <row r="28" spans="1:10" ht="14.5" x14ac:dyDescent="0.35">
      <c r="A28" s="363" t="s">
        <v>370</v>
      </c>
      <c r="B28" s="494">
        <v>3.0000000000000001E-5</v>
      </c>
      <c r="C28" s="495">
        <v>3.0000000000000001E-5</v>
      </c>
      <c r="D28" s="354">
        <f t="shared" si="0"/>
        <v>0</v>
      </c>
      <c r="E28" s="395"/>
      <c r="F28" s="380" t="s">
        <v>157</v>
      </c>
      <c r="G28" s="500">
        <v>59.526842350000003</v>
      </c>
      <c r="H28" s="495">
        <v>59.526841949999984</v>
      </c>
      <c r="I28" s="354">
        <f t="shared" si="1"/>
        <v>-4.0000001888529368E-7</v>
      </c>
      <c r="J28" s="34"/>
    </row>
    <row r="29" spans="1:10" ht="14.5" x14ac:dyDescent="0.35">
      <c r="A29" s="363" t="s">
        <v>13</v>
      </c>
      <c r="B29" s="494">
        <v>6.9845000000000009E-4</v>
      </c>
      <c r="C29" s="495">
        <v>6.9844999999999998E-4</v>
      </c>
      <c r="D29" s="354">
        <f t="shared" si="0"/>
        <v>0</v>
      </c>
      <c r="E29" s="395"/>
      <c r="F29" s="380" t="s">
        <v>25</v>
      </c>
      <c r="G29" s="500">
        <v>7.3731330499999999</v>
      </c>
      <c r="H29" s="495">
        <v>7.3731327600000007</v>
      </c>
      <c r="I29" s="354">
        <f t="shared" si="1"/>
        <v>-2.8999999912571184E-7</v>
      </c>
      <c r="J29" s="34"/>
    </row>
    <row r="30" spans="1:10" ht="14.5" x14ac:dyDescent="0.35">
      <c r="A30" s="363" t="s">
        <v>14</v>
      </c>
      <c r="B30" s="494">
        <v>1.1908510000000001E-2</v>
      </c>
      <c r="C30" s="495">
        <v>1.1908510000000001E-2</v>
      </c>
      <c r="D30" s="354">
        <f t="shared" si="0"/>
        <v>0</v>
      </c>
      <c r="E30" s="395"/>
      <c r="F30" s="380" t="s">
        <v>204</v>
      </c>
      <c r="G30" s="500">
        <v>12.952707480000001</v>
      </c>
      <c r="H30" s="495">
        <v>12.952707230000003</v>
      </c>
      <c r="I30" s="354">
        <f t="shared" si="1"/>
        <v>-2.4999999759245384E-7</v>
      </c>
      <c r="J30" s="34"/>
    </row>
    <row r="31" spans="1:10" ht="14.5" x14ac:dyDescent="0.35">
      <c r="A31" s="363" t="s">
        <v>15</v>
      </c>
      <c r="B31" s="494">
        <v>19.889441479999999</v>
      </c>
      <c r="C31" s="495">
        <v>19.889441479999991</v>
      </c>
      <c r="D31" s="354">
        <f t="shared" si="0"/>
        <v>0</v>
      </c>
      <c r="E31" s="395"/>
      <c r="F31" s="380" t="s">
        <v>84</v>
      </c>
      <c r="G31" s="500">
        <v>138.071599679999</v>
      </c>
      <c r="H31" s="495">
        <v>138.0715995599999</v>
      </c>
      <c r="I31" s="354">
        <f t="shared" si="1"/>
        <v>-1.1999910043414275E-7</v>
      </c>
      <c r="J31" s="34"/>
    </row>
    <row r="32" spans="1:10" ht="14.5" x14ac:dyDescent="0.35">
      <c r="A32" s="363" t="s">
        <v>16</v>
      </c>
      <c r="B32" s="494">
        <v>2.0827512700000002</v>
      </c>
      <c r="C32" s="495">
        <v>2.0827512699999993</v>
      </c>
      <c r="D32" s="354">
        <f t="shared" si="0"/>
        <v>0</v>
      </c>
      <c r="E32" s="395"/>
      <c r="F32" s="380" t="s">
        <v>196</v>
      </c>
      <c r="G32" s="500">
        <v>14.285639511099999</v>
      </c>
      <c r="H32" s="495">
        <v>14.285639461099997</v>
      </c>
      <c r="I32" s="354">
        <f t="shared" si="1"/>
        <v>-5.0000002360661711E-8</v>
      </c>
      <c r="J32" s="34"/>
    </row>
    <row r="33" spans="1:10" ht="14.5" x14ac:dyDescent="0.35">
      <c r="A33" s="363" t="s">
        <v>17</v>
      </c>
      <c r="B33" s="494">
        <v>15.595770959999999</v>
      </c>
      <c r="C33" s="495">
        <v>15.595770959999996</v>
      </c>
      <c r="D33" s="354">
        <f t="shared" si="0"/>
        <v>0</v>
      </c>
      <c r="E33" s="395"/>
      <c r="F33" s="380" t="s">
        <v>118</v>
      </c>
      <c r="G33" s="500">
        <v>11.96796159</v>
      </c>
      <c r="H33" s="495">
        <v>11.967961539999999</v>
      </c>
      <c r="I33" s="354">
        <f t="shared" si="1"/>
        <v>-5.0000000584304871E-8</v>
      </c>
      <c r="J33" s="34"/>
    </row>
    <row r="34" spans="1:10" ht="14.5" x14ac:dyDescent="0.35">
      <c r="A34" s="363" t="s">
        <v>19</v>
      </c>
      <c r="B34" s="494">
        <v>1.204207E-2</v>
      </c>
      <c r="C34" s="495">
        <v>1.2042070000000002E-2</v>
      </c>
      <c r="D34" s="354">
        <f t="shared" si="0"/>
        <v>0</v>
      </c>
      <c r="E34" s="395"/>
      <c r="F34" s="380" t="s">
        <v>105</v>
      </c>
      <c r="G34" s="500">
        <v>81.967527740000207</v>
      </c>
      <c r="H34" s="495">
        <v>81.967527740000008</v>
      </c>
      <c r="I34" s="354">
        <f t="shared" si="1"/>
        <v>-1.9895196601282805E-13</v>
      </c>
      <c r="J34" s="34"/>
    </row>
    <row r="35" spans="1:10" ht="14.5" x14ac:dyDescent="0.35">
      <c r="A35" s="363" t="s">
        <v>20</v>
      </c>
      <c r="B35" s="494">
        <v>0.37459085000000003</v>
      </c>
      <c r="C35" s="495">
        <v>0.37459085000000003</v>
      </c>
      <c r="D35" s="354">
        <f t="shared" si="0"/>
        <v>0</v>
      </c>
      <c r="E35" s="395"/>
      <c r="F35" s="380" t="s">
        <v>16</v>
      </c>
      <c r="G35" s="500">
        <v>30.630248380000101</v>
      </c>
      <c r="H35" s="495">
        <v>30.630248379999991</v>
      </c>
      <c r="I35" s="354">
        <f t="shared" si="1"/>
        <v>-1.1013412404281553E-13</v>
      </c>
      <c r="J35" s="34"/>
    </row>
    <row r="36" spans="1:10" ht="14.5" x14ac:dyDescent="0.35">
      <c r="A36" s="363" t="s">
        <v>22</v>
      </c>
      <c r="B36" s="494">
        <v>5.4975870000000003E-2</v>
      </c>
      <c r="C36" s="495">
        <v>5.4975869999999982E-2</v>
      </c>
      <c r="D36" s="354">
        <f t="shared" si="0"/>
        <v>0</v>
      </c>
      <c r="E36" s="395"/>
      <c r="F36" s="380" t="s">
        <v>182</v>
      </c>
      <c r="G36" s="500">
        <v>45.585917620000103</v>
      </c>
      <c r="H36" s="495">
        <v>45.585917619999996</v>
      </c>
      <c r="I36" s="354">
        <f t="shared" si="1"/>
        <v>-1.0658141036401503E-13</v>
      </c>
      <c r="J36" s="34"/>
    </row>
    <row r="37" spans="1:10" ht="14.5" x14ac:dyDescent="0.35">
      <c r="A37" s="363" t="s">
        <v>23</v>
      </c>
      <c r="B37" s="494">
        <v>2.0000000000000001E-4</v>
      </c>
      <c r="C37" s="495">
        <v>2.0000000000000001E-4</v>
      </c>
      <c r="D37" s="354">
        <f t="shared" si="0"/>
        <v>0</v>
      </c>
      <c r="E37" s="395"/>
      <c r="F37" s="380" t="s">
        <v>350</v>
      </c>
      <c r="G37" s="500">
        <v>35.000144570000096</v>
      </c>
      <c r="H37" s="495">
        <v>35.00014457000001</v>
      </c>
      <c r="I37" s="354">
        <f t="shared" si="1"/>
        <v>-8.5265128291212022E-14</v>
      </c>
      <c r="J37" s="34"/>
    </row>
    <row r="38" spans="1:10" ht="14.5" x14ac:dyDescent="0.35">
      <c r="A38" s="363" t="s">
        <v>347</v>
      </c>
      <c r="B38" s="494">
        <v>2.2769999999999999E-3</v>
      </c>
      <c r="C38" s="495">
        <v>2.2769999999999999E-3</v>
      </c>
      <c r="D38" s="354">
        <f t="shared" si="0"/>
        <v>0</v>
      </c>
      <c r="E38" s="395"/>
      <c r="F38" s="380" t="s">
        <v>164</v>
      </c>
      <c r="G38" s="500">
        <v>8.7303582300000198</v>
      </c>
      <c r="H38" s="495">
        <v>8.7303582299999967</v>
      </c>
      <c r="I38" s="354">
        <f t="shared" si="1"/>
        <v>-2.3092638912203256E-14</v>
      </c>
      <c r="J38" s="34"/>
    </row>
    <row r="39" spans="1:10" ht="14.5" x14ac:dyDescent="0.35">
      <c r="A39" s="363" t="s">
        <v>24</v>
      </c>
      <c r="B39" s="494">
        <v>0.27474796000000001</v>
      </c>
      <c r="C39" s="495">
        <v>0.27474796000000001</v>
      </c>
      <c r="D39" s="354">
        <f t="shared" si="0"/>
        <v>0</v>
      </c>
      <c r="E39" s="395"/>
      <c r="F39" s="380" t="s">
        <v>212</v>
      </c>
      <c r="G39" s="500">
        <v>6.7536097000000108</v>
      </c>
      <c r="H39" s="495">
        <v>6.7536096999999984</v>
      </c>
      <c r="I39" s="354">
        <f t="shared" si="1"/>
        <v>-1.2434497875801753E-14</v>
      </c>
      <c r="J39" s="34"/>
    </row>
    <row r="40" spans="1:10" ht="14.5" x14ac:dyDescent="0.35">
      <c r="A40" s="363" t="s">
        <v>26</v>
      </c>
      <c r="B40" s="494">
        <v>1.0289560000000001E-2</v>
      </c>
      <c r="C40" s="495">
        <v>1.028956E-2</v>
      </c>
      <c r="D40" s="354">
        <f t="shared" si="0"/>
        <v>0</v>
      </c>
      <c r="E40" s="395"/>
      <c r="F40" s="380" t="s">
        <v>205</v>
      </c>
      <c r="G40" s="500">
        <v>5.1611502000000105</v>
      </c>
      <c r="H40" s="495">
        <v>5.1611502000000016</v>
      </c>
      <c r="I40" s="354">
        <f t="shared" si="1"/>
        <v>-8.8817841970012523E-15</v>
      </c>
      <c r="J40" s="34"/>
    </row>
    <row r="41" spans="1:10" ht="14.5" x14ac:dyDescent="0.35">
      <c r="A41" s="363" t="s">
        <v>27</v>
      </c>
      <c r="B41" s="494">
        <v>29.675133080000002</v>
      </c>
      <c r="C41" s="495">
        <v>29.675133080000002</v>
      </c>
      <c r="D41" s="354">
        <f t="shared" si="0"/>
        <v>0</v>
      </c>
      <c r="E41" s="395"/>
      <c r="F41" s="380" t="s">
        <v>0</v>
      </c>
      <c r="G41" s="500">
        <v>4.8596418300000002</v>
      </c>
      <c r="H41" s="495">
        <v>4.8596418299999993</v>
      </c>
      <c r="I41" s="354">
        <f t="shared" si="1"/>
        <v>0</v>
      </c>
      <c r="J41" s="34"/>
    </row>
    <row r="42" spans="1:10" ht="14.5" x14ac:dyDescent="0.35">
      <c r="A42" s="363" t="s">
        <v>384</v>
      </c>
      <c r="B42" s="494">
        <v>0.13919585000000001</v>
      </c>
      <c r="C42" s="495">
        <v>0.13919585000000001</v>
      </c>
      <c r="D42" s="354">
        <f t="shared" si="0"/>
        <v>0</v>
      </c>
      <c r="E42" s="395"/>
      <c r="F42" s="380" t="s">
        <v>1</v>
      </c>
      <c r="G42" s="500">
        <v>2.998582E-2</v>
      </c>
      <c r="H42" s="495">
        <v>2.998582E-2</v>
      </c>
      <c r="I42" s="354">
        <f t="shared" si="1"/>
        <v>0</v>
      </c>
      <c r="J42" s="34"/>
    </row>
    <row r="43" spans="1:10" ht="14.5" x14ac:dyDescent="0.35">
      <c r="A43" s="363" t="s">
        <v>28</v>
      </c>
      <c r="B43" s="494">
        <v>41.377566530000003</v>
      </c>
      <c r="C43" s="495">
        <v>41.377566530000003</v>
      </c>
      <c r="D43" s="354">
        <f t="shared" si="0"/>
        <v>0</v>
      </c>
      <c r="E43" s="395"/>
      <c r="F43" s="380" t="s">
        <v>2</v>
      </c>
      <c r="G43" s="500">
        <v>75.156871099999989</v>
      </c>
      <c r="H43" s="495">
        <v>75.156871099999989</v>
      </c>
      <c r="I43" s="354">
        <f t="shared" si="1"/>
        <v>0</v>
      </c>
      <c r="J43" s="34"/>
    </row>
    <row r="44" spans="1:10" ht="14.5" x14ac:dyDescent="0.35">
      <c r="A44" s="363" t="s">
        <v>29</v>
      </c>
      <c r="B44" s="494">
        <v>0.13172301</v>
      </c>
      <c r="C44" s="495">
        <v>0.13172301000000003</v>
      </c>
      <c r="D44" s="354">
        <f t="shared" si="0"/>
        <v>0</v>
      </c>
      <c r="E44" s="395"/>
      <c r="F44" s="380" t="s">
        <v>3</v>
      </c>
      <c r="G44" s="500">
        <v>0.53734593999999991</v>
      </c>
      <c r="H44" s="495">
        <v>0.53734594000000002</v>
      </c>
      <c r="I44" s="354">
        <f t="shared" si="1"/>
        <v>0</v>
      </c>
      <c r="J44" s="34"/>
    </row>
    <row r="45" spans="1:10" ht="14.5" x14ac:dyDescent="0.35">
      <c r="A45" s="363" t="s">
        <v>30</v>
      </c>
      <c r="B45" s="494">
        <v>99.088002149999994</v>
      </c>
      <c r="C45" s="495">
        <v>99.088002150000037</v>
      </c>
      <c r="D45" s="354">
        <f t="shared" si="0"/>
        <v>0</v>
      </c>
      <c r="E45" s="395"/>
      <c r="F45" s="380" t="s">
        <v>4</v>
      </c>
      <c r="G45" s="500">
        <v>23.765532180000001</v>
      </c>
      <c r="H45" s="495">
        <v>23.765532180000005</v>
      </c>
      <c r="I45" s="354">
        <f t="shared" si="1"/>
        <v>0</v>
      </c>
      <c r="J45" s="34"/>
    </row>
    <row r="46" spans="1:10" ht="14.5" x14ac:dyDescent="0.35">
      <c r="A46" s="363" t="s">
        <v>31</v>
      </c>
      <c r="B46" s="494">
        <v>0.37211725000000001</v>
      </c>
      <c r="C46" s="495">
        <v>0.37211724999999996</v>
      </c>
      <c r="D46" s="354">
        <f t="shared" si="0"/>
        <v>0</v>
      </c>
      <c r="E46" s="395"/>
      <c r="F46" s="380" t="s">
        <v>5</v>
      </c>
      <c r="G46" s="500">
        <v>48.196757429999998</v>
      </c>
      <c r="H46" s="495">
        <v>48.196757430000005</v>
      </c>
      <c r="I46" s="354">
        <f t="shared" si="1"/>
        <v>0</v>
      </c>
      <c r="J46" s="34"/>
    </row>
    <row r="47" spans="1:10" ht="14.5" x14ac:dyDescent="0.35">
      <c r="A47" s="363" t="s">
        <v>32</v>
      </c>
      <c r="B47" s="494">
        <v>0.57992188</v>
      </c>
      <c r="C47" s="495">
        <v>0.57992187999999989</v>
      </c>
      <c r="D47" s="354">
        <f t="shared" si="0"/>
        <v>0</v>
      </c>
      <c r="E47" s="395"/>
      <c r="F47" s="380" t="s">
        <v>6</v>
      </c>
      <c r="G47" s="500">
        <v>5.9697184999999999</v>
      </c>
      <c r="H47" s="495">
        <v>5.969718499999999</v>
      </c>
      <c r="I47" s="354">
        <f t="shared" si="1"/>
        <v>0</v>
      </c>
      <c r="J47" s="34"/>
    </row>
    <row r="48" spans="1:10" ht="14.5" x14ac:dyDescent="0.35">
      <c r="A48" s="363" t="s">
        <v>400</v>
      </c>
      <c r="B48" s="494">
        <v>3.2989999999999998E-3</v>
      </c>
      <c r="C48" s="495">
        <v>3.2989999999999998E-3</v>
      </c>
      <c r="D48" s="354">
        <f t="shared" si="0"/>
        <v>0</v>
      </c>
      <c r="E48" s="395"/>
      <c r="F48" s="380" t="s">
        <v>7</v>
      </c>
      <c r="G48" s="500">
        <v>8.7386600000000005E-3</v>
      </c>
      <c r="H48" s="495">
        <v>8.7386600000000005E-3</v>
      </c>
      <c r="I48" s="354">
        <f t="shared" si="1"/>
        <v>0</v>
      </c>
      <c r="J48" s="34"/>
    </row>
    <row r="49" spans="1:10" ht="14.5" x14ac:dyDescent="0.35">
      <c r="A49" s="363" t="s">
        <v>35</v>
      </c>
      <c r="B49" s="494">
        <v>7.1108660000000004E-2</v>
      </c>
      <c r="C49" s="495">
        <v>7.1108660000000004E-2</v>
      </c>
      <c r="D49" s="354">
        <f t="shared" si="0"/>
        <v>0</v>
      </c>
      <c r="E49" s="395"/>
      <c r="F49" s="380" t="s">
        <v>9</v>
      </c>
      <c r="G49" s="500">
        <v>0.48038794000000001</v>
      </c>
      <c r="H49" s="495">
        <v>0.48038794000000001</v>
      </c>
      <c r="I49" s="354">
        <f t="shared" si="1"/>
        <v>0</v>
      </c>
      <c r="J49" s="34"/>
    </row>
    <row r="50" spans="1:10" ht="14.5" x14ac:dyDescent="0.35">
      <c r="A50" s="363" t="s">
        <v>37</v>
      </c>
      <c r="B50" s="494">
        <v>0.49225055000000001</v>
      </c>
      <c r="C50" s="495">
        <v>0.49225055000000001</v>
      </c>
      <c r="D50" s="354">
        <f t="shared" si="0"/>
        <v>0</v>
      </c>
      <c r="E50" s="395"/>
      <c r="F50" s="380" t="s">
        <v>10</v>
      </c>
      <c r="G50" s="500">
        <v>2.5093960200000001</v>
      </c>
      <c r="H50" s="495">
        <v>2.5093960199999996</v>
      </c>
      <c r="I50" s="354">
        <f t="shared" si="1"/>
        <v>0</v>
      </c>
      <c r="J50" s="34"/>
    </row>
    <row r="51" spans="1:10" ht="14.5" x14ac:dyDescent="0.35">
      <c r="A51" s="363" t="s">
        <v>38</v>
      </c>
      <c r="B51" s="494">
        <v>11.794183409999999</v>
      </c>
      <c r="C51" s="495">
        <v>11.79418341</v>
      </c>
      <c r="D51" s="354">
        <f t="shared" si="0"/>
        <v>0</v>
      </c>
      <c r="E51" s="395"/>
      <c r="F51" s="380" t="s">
        <v>11</v>
      </c>
      <c r="G51" s="500">
        <v>12.038585679999999</v>
      </c>
      <c r="H51" s="495">
        <v>12.038585680000002</v>
      </c>
      <c r="I51" s="354">
        <f t="shared" si="1"/>
        <v>0</v>
      </c>
      <c r="J51" s="34"/>
    </row>
    <row r="52" spans="1:10" ht="14.5" x14ac:dyDescent="0.35">
      <c r="A52" s="363" t="s">
        <v>39</v>
      </c>
      <c r="B52" s="494">
        <v>6.9297009999999992E-2</v>
      </c>
      <c r="C52" s="495">
        <v>6.9297009999999992E-2</v>
      </c>
      <c r="D52" s="354">
        <f t="shared" si="0"/>
        <v>0</v>
      </c>
      <c r="E52" s="395"/>
      <c r="F52" s="380" t="s">
        <v>351</v>
      </c>
      <c r="G52" s="500">
        <v>85.252211469999992</v>
      </c>
      <c r="H52" s="495">
        <v>85.252211469999992</v>
      </c>
      <c r="I52" s="354">
        <f t="shared" si="1"/>
        <v>0</v>
      </c>
      <c r="J52" s="34"/>
    </row>
    <row r="53" spans="1:10" ht="14.5" x14ac:dyDescent="0.35">
      <c r="A53" s="363" t="s">
        <v>40</v>
      </c>
      <c r="B53" s="494">
        <v>2.6629235000000002</v>
      </c>
      <c r="C53" s="495">
        <v>2.6629235000000002</v>
      </c>
      <c r="D53" s="354">
        <f t="shared" si="0"/>
        <v>0</v>
      </c>
      <c r="E53" s="395"/>
      <c r="F53" s="380" t="s">
        <v>357</v>
      </c>
      <c r="G53" s="500">
        <v>21.45337331</v>
      </c>
      <c r="H53" s="495">
        <v>21.453373310000003</v>
      </c>
      <c r="I53" s="354">
        <f t="shared" si="1"/>
        <v>0</v>
      </c>
      <c r="J53" s="34"/>
    </row>
    <row r="54" spans="1:10" ht="14.5" x14ac:dyDescent="0.35">
      <c r="A54" s="363" t="s">
        <v>42</v>
      </c>
      <c r="B54" s="494">
        <v>4.0537999999999998E-3</v>
      </c>
      <c r="C54" s="495">
        <v>4.0537999999999998E-3</v>
      </c>
      <c r="D54" s="354">
        <f t="shared" si="0"/>
        <v>0</v>
      </c>
      <c r="E54" s="395"/>
      <c r="F54" s="380" t="s">
        <v>12</v>
      </c>
      <c r="G54" s="500">
        <v>87.328193099999993</v>
      </c>
      <c r="H54" s="495">
        <v>87.328193099999964</v>
      </c>
      <c r="I54" s="354">
        <f t="shared" si="1"/>
        <v>0</v>
      </c>
      <c r="J54" s="34"/>
    </row>
    <row r="55" spans="1:10" ht="14.5" x14ac:dyDescent="0.35">
      <c r="A55" s="363" t="s">
        <v>43</v>
      </c>
      <c r="B55" s="494">
        <v>6.0710350000000003E-2</v>
      </c>
      <c r="C55" s="495">
        <v>6.0710349999999996E-2</v>
      </c>
      <c r="D55" s="354">
        <f t="shared" si="0"/>
        <v>0</v>
      </c>
      <c r="E55" s="395"/>
      <c r="F55" s="380" t="s">
        <v>370</v>
      </c>
      <c r="G55" s="500">
        <v>0.81119715000000003</v>
      </c>
      <c r="H55" s="495">
        <v>0.81119714999999992</v>
      </c>
      <c r="I55" s="354">
        <f t="shared" si="1"/>
        <v>0</v>
      </c>
      <c r="J55" s="34"/>
    </row>
    <row r="56" spans="1:10" ht="14.5" x14ac:dyDescent="0.35">
      <c r="A56" s="363" t="s">
        <v>44</v>
      </c>
      <c r="B56" s="494">
        <v>0.75862412000000001</v>
      </c>
      <c r="C56" s="495">
        <v>0.75862412000000001</v>
      </c>
      <c r="D56" s="354">
        <f t="shared" si="0"/>
        <v>0</v>
      </c>
      <c r="E56" s="395"/>
      <c r="F56" s="380" t="s">
        <v>13</v>
      </c>
      <c r="G56" s="500">
        <v>0.34641765999999996</v>
      </c>
      <c r="H56" s="495">
        <v>0.34641766000000002</v>
      </c>
      <c r="I56" s="354">
        <f t="shared" si="1"/>
        <v>0</v>
      </c>
      <c r="J56" s="34"/>
    </row>
    <row r="57" spans="1:10" ht="14.5" x14ac:dyDescent="0.35">
      <c r="A57" s="363" t="s">
        <v>45</v>
      </c>
      <c r="B57" s="494">
        <v>66.040450669999998</v>
      </c>
      <c r="C57" s="495">
        <v>66.040450670000027</v>
      </c>
      <c r="D57" s="354">
        <f t="shared" si="0"/>
        <v>0</v>
      </c>
      <c r="E57" s="395"/>
      <c r="F57" s="380" t="s">
        <v>14</v>
      </c>
      <c r="G57" s="500">
        <v>0.68886263999999997</v>
      </c>
      <c r="H57" s="495">
        <v>0.68886263999999997</v>
      </c>
      <c r="I57" s="354">
        <f t="shared" si="1"/>
        <v>0</v>
      </c>
      <c r="J57" s="34"/>
    </row>
    <row r="58" spans="1:10" ht="14.5" x14ac:dyDescent="0.35">
      <c r="A58" s="363" t="s">
        <v>46</v>
      </c>
      <c r="B58" s="494">
        <v>131.80745893</v>
      </c>
      <c r="C58" s="495">
        <v>131.80745893</v>
      </c>
      <c r="D58" s="354">
        <f t="shared" si="0"/>
        <v>0</v>
      </c>
      <c r="E58" s="395"/>
      <c r="F58" s="380" t="s">
        <v>15</v>
      </c>
      <c r="G58" s="500">
        <v>123.03282874999999</v>
      </c>
      <c r="H58" s="495">
        <v>123.03282875000001</v>
      </c>
      <c r="I58" s="354">
        <f t="shared" si="1"/>
        <v>0</v>
      </c>
      <c r="J58" s="34"/>
    </row>
    <row r="59" spans="1:10" ht="14.5" x14ac:dyDescent="0.35">
      <c r="A59" s="363" t="s">
        <v>47</v>
      </c>
      <c r="B59" s="494">
        <v>6.3706800000000001E-3</v>
      </c>
      <c r="C59" s="495">
        <v>6.3706800000000001E-3</v>
      </c>
      <c r="D59" s="354">
        <f t="shared" si="0"/>
        <v>0</v>
      </c>
      <c r="E59" s="395"/>
      <c r="F59" s="380" t="s">
        <v>17</v>
      </c>
      <c r="G59" s="500">
        <v>39.716583759999999</v>
      </c>
      <c r="H59" s="495">
        <v>39.716583759999999</v>
      </c>
      <c r="I59" s="354">
        <f t="shared" si="1"/>
        <v>0</v>
      </c>
      <c r="J59" s="34"/>
    </row>
    <row r="60" spans="1:10" ht="14.5" x14ac:dyDescent="0.35">
      <c r="A60" s="363" t="s">
        <v>48</v>
      </c>
      <c r="B60" s="494">
        <v>59.690664549999994</v>
      </c>
      <c r="C60" s="495">
        <v>59.690664550000001</v>
      </c>
      <c r="D60" s="354">
        <f t="shared" si="0"/>
        <v>0</v>
      </c>
      <c r="E60" s="395"/>
      <c r="F60" s="380" t="s">
        <v>19</v>
      </c>
      <c r="G60" s="500">
        <v>15.80764636</v>
      </c>
      <c r="H60" s="495">
        <v>15.807646359999998</v>
      </c>
      <c r="I60" s="354">
        <f t="shared" si="1"/>
        <v>0</v>
      </c>
      <c r="J60" s="34"/>
    </row>
    <row r="61" spans="1:10" ht="14.5" x14ac:dyDescent="0.35">
      <c r="A61" s="363" t="s">
        <v>49</v>
      </c>
      <c r="B61" s="494">
        <v>0.13634599999999999</v>
      </c>
      <c r="C61" s="495">
        <v>0.13634599999999999</v>
      </c>
      <c r="D61" s="354">
        <f t="shared" si="0"/>
        <v>0</v>
      </c>
      <c r="E61" s="395"/>
      <c r="F61" s="380" t="s">
        <v>20</v>
      </c>
      <c r="G61" s="500">
        <v>34.562983100000004</v>
      </c>
      <c r="H61" s="495">
        <v>34.562983100000025</v>
      </c>
      <c r="I61" s="354">
        <f t="shared" si="1"/>
        <v>0</v>
      </c>
      <c r="J61" s="34"/>
    </row>
    <row r="62" spans="1:10" ht="14.5" x14ac:dyDescent="0.35">
      <c r="A62" s="363" t="s">
        <v>50</v>
      </c>
      <c r="B62" s="494">
        <v>25.954943179999997</v>
      </c>
      <c r="C62" s="495">
        <v>25.954943180000001</v>
      </c>
      <c r="D62" s="354">
        <f t="shared" si="0"/>
        <v>0</v>
      </c>
      <c r="E62" s="395"/>
      <c r="F62" s="380" t="s">
        <v>21</v>
      </c>
      <c r="G62" s="500">
        <v>123.44850993999999</v>
      </c>
      <c r="H62" s="495">
        <v>123.44850994000001</v>
      </c>
      <c r="I62" s="354">
        <f t="shared" si="1"/>
        <v>0</v>
      </c>
      <c r="J62" s="34"/>
    </row>
    <row r="63" spans="1:10" ht="14.5" x14ac:dyDescent="0.35">
      <c r="A63" s="363" t="s">
        <v>51</v>
      </c>
      <c r="B63" s="494">
        <v>11.059627880000001</v>
      </c>
      <c r="C63" s="495">
        <v>11.059627879999999</v>
      </c>
      <c r="D63" s="354">
        <f t="shared" si="0"/>
        <v>0</v>
      </c>
      <c r="E63" s="395"/>
      <c r="F63" s="380" t="s">
        <v>22</v>
      </c>
      <c r="G63" s="500">
        <v>33.910512270000005</v>
      </c>
      <c r="H63" s="495">
        <v>33.910512269999977</v>
      </c>
      <c r="I63" s="354">
        <f t="shared" si="1"/>
        <v>0</v>
      </c>
      <c r="J63" s="34"/>
    </row>
    <row r="64" spans="1:10" ht="14.5" x14ac:dyDescent="0.35">
      <c r="A64" s="363" t="s">
        <v>53</v>
      </c>
      <c r="B64" s="494">
        <v>1801.4411959700001</v>
      </c>
      <c r="C64" s="495">
        <v>1801.4411959700001</v>
      </c>
      <c r="D64" s="354">
        <f t="shared" si="0"/>
        <v>0</v>
      </c>
      <c r="E64" s="395"/>
      <c r="F64" s="380" t="s">
        <v>23</v>
      </c>
      <c r="G64" s="500">
        <v>14.576469660000001</v>
      </c>
      <c r="H64" s="495">
        <v>14.576469660000004</v>
      </c>
      <c r="I64" s="354">
        <f t="shared" si="1"/>
        <v>0</v>
      </c>
      <c r="J64" s="34"/>
    </row>
    <row r="65" spans="1:10" ht="14.5" x14ac:dyDescent="0.35">
      <c r="A65" s="363" t="s">
        <v>54</v>
      </c>
      <c r="B65" s="494">
        <v>533.43348569</v>
      </c>
      <c r="C65" s="495">
        <v>533.43348568999977</v>
      </c>
      <c r="D65" s="354">
        <f t="shared" si="0"/>
        <v>0</v>
      </c>
      <c r="E65" s="395"/>
      <c r="F65" s="380" t="s">
        <v>347</v>
      </c>
      <c r="G65" s="500">
        <v>0.24878386999999999</v>
      </c>
      <c r="H65" s="495">
        <v>0.24878386999999999</v>
      </c>
      <c r="I65" s="354">
        <f t="shared" si="1"/>
        <v>0</v>
      </c>
      <c r="J65" s="34"/>
    </row>
    <row r="66" spans="1:10" ht="14.5" x14ac:dyDescent="0.35">
      <c r="A66" s="363" t="s">
        <v>55</v>
      </c>
      <c r="B66" s="494">
        <v>18.359664989999995</v>
      </c>
      <c r="C66" s="495">
        <v>18.359664989999999</v>
      </c>
      <c r="D66" s="354">
        <f t="shared" si="0"/>
        <v>0</v>
      </c>
      <c r="E66" s="395"/>
      <c r="F66" s="380" t="s">
        <v>26</v>
      </c>
      <c r="G66" s="500">
        <v>17.173750309999999</v>
      </c>
      <c r="H66" s="495">
        <v>17.173750309999988</v>
      </c>
      <c r="I66" s="354">
        <f t="shared" si="1"/>
        <v>0</v>
      </c>
      <c r="J66" s="34"/>
    </row>
    <row r="67" spans="1:10" ht="14.5" x14ac:dyDescent="0.35">
      <c r="A67" s="363" t="s">
        <v>56</v>
      </c>
      <c r="B67" s="494">
        <v>2.1950000000000001E-2</v>
      </c>
      <c r="C67" s="495">
        <v>2.1950000000000001E-2</v>
      </c>
      <c r="D67" s="354">
        <f t="shared" si="0"/>
        <v>0</v>
      </c>
      <c r="E67" s="395"/>
      <c r="F67" s="380" t="s">
        <v>27</v>
      </c>
      <c r="G67" s="500">
        <v>90.518162939999897</v>
      </c>
      <c r="H67" s="495">
        <v>90.518162939999982</v>
      </c>
      <c r="I67" s="354">
        <f t="shared" si="1"/>
        <v>0</v>
      </c>
      <c r="J67" s="34"/>
    </row>
    <row r="68" spans="1:10" ht="14.5" x14ac:dyDescent="0.35">
      <c r="A68" s="363" t="s">
        <v>57</v>
      </c>
      <c r="B68" s="494">
        <v>0.74196856</v>
      </c>
      <c r="C68" s="495">
        <v>0.74196856</v>
      </c>
      <c r="D68" s="354">
        <f t="shared" si="0"/>
        <v>0</v>
      </c>
      <c r="E68" s="395"/>
      <c r="F68" s="380" t="s">
        <v>384</v>
      </c>
      <c r="G68" s="500">
        <v>9.5625648100000014</v>
      </c>
      <c r="H68" s="495">
        <v>9.5625648099999978</v>
      </c>
      <c r="I68" s="354">
        <f t="shared" si="1"/>
        <v>0</v>
      </c>
      <c r="J68" s="34"/>
    </row>
    <row r="69" spans="1:10" ht="14.5" x14ac:dyDescent="0.35">
      <c r="A69" s="363" t="s">
        <v>58</v>
      </c>
      <c r="B69" s="494">
        <v>11.371927749999999</v>
      </c>
      <c r="C69" s="495">
        <v>11.371927749999999</v>
      </c>
      <c r="D69" s="354">
        <f t="shared" si="0"/>
        <v>0</v>
      </c>
      <c r="E69" s="395"/>
      <c r="F69" s="380" t="s">
        <v>30</v>
      </c>
      <c r="G69" s="500">
        <v>216.30586571000001</v>
      </c>
      <c r="H69" s="495">
        <v>216.30586570999986</v>
      </c>
      <c r="I69" s="354">
        <f t="shared" si="1"/>
        <v>0</v>
      </c>
      <c r="J69" s="34"/>
    </row>
    <row r="70" spans="1:10" ht="14.5" x14ac:dyDescent="0.35">
      <c r="A70" s="363" t="s">
        <v>60</v>
      </c>
      <c r="B70" s="494">
        <v>0.44098721999999996</v>
      </c>
      <c r="C70" s="495">
        <v>0.44098721999999996</v>
      </c>
      <c r="D70" s="354">
        <f t="shared" si="0"/>
        <v>0</v>
      </c>
      <c r="E70" s="395"/>
      <c r="F70" s="380" t="s">
        <v>382</v>
      </c>
      <c r="G70" s="500">
        <v>2.8316000000000002E-4</v>
      </c>
      <c r="H70" s="495">
        <v>2.8316000000000002E-4</v>
      </c>
      <c r="I70" s="354">
        <f t="shared" si="1"/>
        <v>0</v>
      </c>
      <c r="J70" s="34"/>
    </row>
    <row r="71" spans="1:10" ht="14.5" x14ac:dyDescent="0.35">
      <c r="A71" s="363" t="s">
        <v>63</v>
      </c>
      <c r="B71" s="494">
        <v>5.3205048799999997</v>
      </c>
      <c r="C71" s="495">
        <v>5.3205048799999988</v>
      </c>
      <c r="D71" s="354">
        <f t="shared" si="0"/>
        <v>0</v>
      </c>
      <c r="E71" s="395"/>
      <c r="F71" s="380" t="s">
        <v>31</v>
      </c>
      <c r="G71" s="500">
        <v>53.226571939999999</v>
      </c>
      <c r="H71" s="495">
        <v>53.226571939999999</v>
      </c>
      <c r="I71" s="354">
        <f t="shared" si="1"/>
        <v>0</v>
      </c>
      <c r="J71" s="34"/>
    </row>
    <row r="72" spans="1:10" ht="14.5" x14ac:dyDescent="0.35">
      <c r="A72" s="363" t="s">
        <v>65</v>
      </c>
      <c r="B72" s="494">
        <v>3.0000000000000001E-5</v>
      </c>
      <c r="C72" s="495">
        <v>3.0000000000000004E-5</v>
      </c>
      <c r="D72" s="354">
        <f t="shared" si="0"/>
        <v>0</v>
      </c>
      <c r="E72" s="395"/>
      <c r="F72" s="380" t="s">
        <v>33</v>
      </c>
      <c r="G72" s="500">
        <v>0.47049299999999999</v>
      </c>
      <c r="H72" s="495">
        <v>0.47049299999999999</v>
      </c>
      <c r="I72" s="354">
        <f t="shared" si="1"/>
        <v>0</v>
      </c>
      <c r="J72" s="34"/>
    </row>
    <row r="73" spans="1:10" ht="14.5" x14ac:dyDescent="0.35">
      <c r="A73" s="363" t="s">
        <v>66</v>
      </c>
      <c r="B73" s="494">
        <v>3.2039999999999998E-3</v>
      </c>
      <c r="C73" s="495">
        <v>3.2040000000000003E-3</v>
      </c>
      <c r="D73" s="354">
        <f t="shared" si="0"/>
        <v>0</v>
      </c>
      <c r="E73" s="395"/>
      <c r="F73" s="380" t="s">
        <v>383</v>
      </c>
      <c r="G73" s="500">
        <v>0.79190394999999991</v>
      </c>
      <c r="H73" s="495">
        <v>0.79190394999999991</v>
      </c>
      <c r="I73" s="354">
        <f t="shared" si="1"/>
        <v>0</v>
      </c>
      <c r="J73" s="34"/>
    </row>
    <row r="74" spans="1:10" ht="14.5" x14ac:dyDescent="0.35">
      <c r="A74" s="363" t="s">
        <v>67</v>
      </c>
      <c r="B74" s="494">
        <v>8.4084199999999998E-2</v>
      </c>
      <c r="C74" s="495">
        <v>8.4084199999999998E-2</v>
      </c>
      <c r="D74" s="354">
        <f t="shared" si="0"/>
        <v>0</v>
      </c>
      <c r="E74" s="395"/>
      <c r="F74" s="380" t="s">
        <v>34</v>
      </c>
      <c r="G74" s="500">
        <v>0.15711951000000002</v>
      </c>
      <c r="H74" s="495">
        <v>0.15711950999999999</v>
      </c>
      <c r="I74" s="354">
        <f t="shared" si="1"/>
        <v>0</v>
      </c>
      <c r="J74" s="34"/>
    </row>
    <row r="75" spans="1:10" ht="14.5" x14ac:dyDescent="0.35">
      <c r="A75" s="363" t="s">
        <v>354</v>
      </c>
      <c r="B75" s="494">
        <v>0.24640000000000001</v>
      </c>
      <c r="C75" s="495">
        <v>0.24640000000000001</v>
      </c>
      <c r="D75" s="354">
        <f t="shared" ref="D75:D138" si="2">C75-B75</f>
        <v>0</v>
      </c>
      <c r="E75" s="395"/>
      <c r="F75" s="380" t="s">
        <v>35</v>
      </c>
      <c r="G75" s="500">
        <v>7.9820370000000002E-2</v>
      </c>
      <c r="H75" s="495">
        <v>7.9820370000000002E-2</v>
      </c>
      <c r="I75" s="354">
        <f t="shared" ref="I75:I138" si="3">H75-G75</f>
        <v>0</v>
      </c>
      <c r="J75" s="34"/>
    </row>
    <row r="76" spans="1:10" ht="14.5" x14ac:dyDescent="0.35">
      <c r="A76" s="363" t="s">
        <v>68</v>
      </c>
      <c r="B76" s="494">
        <v>3.2631100000000001E-3</v>
      </c>
      <c r="C76" s="495">
        <v>3.2631100000000001E-3</v>
      </c>
      <c r="D76" s="354">
        <f t="shared" si="2"/>
        <v>0</v>
      </c>
      <c r="E76" s="395"/>
      <c r="F76" s="380" t="s">
        <v>366</v>
      </c>
      <c r="G76" s="500">
        <v>4.2902399999999999E-3</v>
      </c>
      <c r="H76" s="495">
        <v>4.2902400000000007E-3</v>
      </c>
      <c r="I76" s="354">
        <f t="shared" si="3"/>
        <v>0</v>
      </c>
      <c r="J76" s="34"/>
    </row>
    <row r="77" spans="1:10" ht="14.5" x14ac:dyDescent="0.35">
      <c r="A77" s="363" t="s">
        <v>73</v>
      </c>
      <c r="B77" s="494">
        <v>4.0499999999999998E-4</v>
      </c>
      <c r="C77" s="495">
        <v>4.0499999999999998E-4</v>
      </c>
      <c r="D77" s="354">
        <f t="shared" si="2"/>
        <v>0</v>
      </c>
      <c r="E77" s="395"/>
      <c r="F77" s="380" t="s">
        <v>36</v>
      </c>
      <c r="G77" s="500">
        <v>1.8796741499999998</v>
      </c>
      <c r="H77" s="495">
        <v>1.87967415</v>
      </c>
      <c r="I77" s="354">
        <f t="shared" si="3"/>
        <v>0</v>
      </c>
      <c r="J77" s="34"/>
    </row>
    <row r="78" spans="1:10" ht="14.5" x14ac:dyDescent="0.35">
      <c r="A78" s="363" t="s">
        <v>74</v>
      </c>
      <c r="B78" s="494">
        <v>4.4329E-2</v>
      </c>
      <c r="C78" s="495">
        <v>4.4329000000000007E-2</v>
      </c>
      <c r="D78" s="354">
        <f t="shared" si="2"/>
        <v>0</v>
      </c>
      <c r="E78" s="395"/>
      <c r="F78" s="380" t="s">
        <v>37</v>
      </c>
      <c r="G78" s="500">
        <v>0.24447901999999999</v>
      </c>
      <c r="H78" s="495">
        <v>0.24447902000000005</v>
      </c>
      <c r="I78" s="354">
        <f t="shared" si="3"/>
        <v>0</v>
      </c>
      <c r="J78" s="34"/>
    </row>
    <row r="79" spans="1:10" ht="14.5" x14ac:dyDescent="0.35">
      <c r="A79" s="363" t="s">
        <v>75</v>
      </c>
      <c r="B79" s="494">
        <v>0.12128504000000001</v>
      </c>
      <c r="C79" s="495">
        <v>0.12128504</v>
      </c>
      <c r="D79" s="354">
        <f t="shared" si="2"/>
        <v>0</v>
      </c>
      <c r="E79" s="395"/>
      <c r="F79" s="380" t="s">
        <v>38</v>
      </c>
      <c r="G79" s="500">
        <v>24.84334775</v>
      </c>
      <c r="H79" s="495">
        <v>24.843347750000007</v>
      </c>
      <c r="I79" s="354">
        <f t="shared" si="3"/>
        <v>0</v>
      </c>
      <c r="J79" s="34"/>
    </row>
    <row r="80" spans="1:10" ht="14.5" x14ac:dyDescent="0.35">
      <c r="A80" s="363" t="s">
        <v>76</v>
      </c>
      <c r="B80" s="494">
        <v>0.92811836000000003</v>
      </c>
      <c r="C80" s="495">
        <v>0.92811836000000003</v>
      </c>
      <c r="D80" s="354">
        <f t="shared" si="2"/>
        <v>0</v>
      </c>
      <c r="E80" s="395"/>
      <c r="F80" s="380" t="s">
        <v>39</v>
      </c>
      <c r="G80" s="500">
        <v>20.265034649999997</v>
      </c>
      <c r="H80" s="495">
        <v>20.26503465</v>
      </c>
      <c r="I80" s="354">
        <f t="shared" si="3"/>
        <v>0</v>
      </c>
      <c r="J80" s="34"/>
    </row>
    <row r="81" spans="1:10" ht="14.5" x14ac:dyDescent="0.35">
      <c r="A81" s="363" t="s">
        <v>79</v>
      </c>
      <c r="B81" s="494">
        <v>0.54194242000000004</v>
      </c>
      <c r="C81" s="495">
        <v>0.54194241999999992</v>
      </c>
      <c r="D81" s="354">
        <f t="shared" si="2"/>
        <v>0</v>
      </c>
      <c r="E81" s="395"/>
      <c r="F81" s="380" t="s">
        <v>40</v>
      </c>
      <c r="G81" s="500">
        <v>3.2284099999999997E-3</v>
      </c>
      <c r="H81" s="495">
        <v>3.2284099999999997E-3</v>
      </c>
      <c r="I81" s="354">
        <f t="shared" si="3"/>
        <v>0</v>
      </c>
      <c r="J81" s="34"/>
    </row>
    <row r="82" spans="1:10" ht="14.5" x14ac:dyDescent="0.35">
      <c r="A82" s="363" t="s">
        <v>80</v>
      </c>
      <c r="B82" s="494">
        <v>8.570736909999999</v>
      </c>
      <c r="C82" s="495">
        <v>8.5707369100000008</v>
      </c>
      <c r="D82" s="354">
        <f t="shared" si="2"/>
        <v>0</v>
      </c>
      <c r="E82" s="395"/>
      <c r="F82" s="380" t="s">
        <v>41</v>
      </c>
      <c r="G82" s="500">
        <v>1.437707E-2</v>
      </c>
      <c r="H82" s="495">
        <v>1.437707E-2</v>
      </c>
      <c r="I82" s="354">
        <f t="shared" si="3"/>
        <v>0</v>
      </c>
      <c r="J82" s="34"/>
    </row>
    <row r="83" spans="1:10" ht="14.5" x14ac:dyDescent="0.35">
      <c r="A83" s="363" t="s">
        <v>81</v>
      </c>
      <c r="B83" s="494">
        <v>1.4701167700000002</v>
      </c>
      <c r="C83" s="495">
        <v>1.47011677</v>
      </c>
      <c r="D83" s="354">
        <f t="shared" si="2"/>
        <v>0</v>
      </c>
      <c r="E83" s="395"/>
      <c r="F83" s="380" t="s">
        <v>377</v>
      </c>
      <c r="G83" s="500">
        <v>8.12045846</v>
      </c>
      <c r="H83" s="495">
        <v>8.12045846</v>
      </c>
      <c r="I83" s="354">
        <f t="shared" si="3"/>
        <v>0</v>
      </c>
      <c r="J83" s="34"/>
    </row>
    <row r="84" spans="1:10" ht="14.5" x14ac:dyDescent="0.35">
      <c r="A84" s="363" t="s">
        <v>82</v>
      </c>
      <c r="B84" s="494">
        <v>0.11306556000000001</v>
      </c>
      <c r="C84" s="495">
        <v>0.11306556000000001</v>
      </c>
      <c r="D84" s="354">
        <f t="shared" si="2"/>
        <v>0</v>
      </c>
      <c r="E84" s="395"/>
      <c r="F84" s="380" t="s">
        <v>372</v>
      </c>
      <c r="G84" s="500">
        <v>0.46026701000000003</v>
      </c>
      <c r="H84" s="495">
        <v>0.46026701000000003</v>
      </c>
      <c r="I84" s="354">
        <f t="shared" si="3"/>
        <v>0</v>
      </c>
      <c r="J84" s="34"/>
    </row>
    <row r="85" spans="1:10" ht="14.5" x14ac:dyDescent="0.35">
      <c r="A85" s="363" t="s">
        <v>83</v>
      </c>
      <c r="B85" s="494">
        <v>0.97600047999999995</v>
      </c>
      <c r="C85" s="495">
        <v>0.97600047999999973</v>
      </c>
      <c r="D85" s="354">
        <f t="shared" si="2"/>
        <v>0</v>
      </c>
      <c r="E85" s="395"/>
      <c r="F85" s="380" t="s">
        <v>42</v>
      </c>
      <c r="G85" s="500">
        <v>8.7901309999999996E-2</v>
      </c>
      <c r="H85" s="495">
        <v>8.790131000000001E-2</v>
      </c>
      <c r="I85" s="354">
        <f t="shared" si="3"/>
        <v>0</v>
      </c>
      <c r="J85" s="34"/>
    </row>
    <row r="86" spans="1:10" ht="14.5" x14ac:dyDescent="0.35">
      <c r="A86" s="363" t="s">
        <v>84</v>
      </c>
      <c r="B86" s="494">
        <v>21.150243940000003</v>
      </c>
      <c r="C86" s="495">
        <v>21.150243939999999</v>
      </c>
      <c r="D86" s="354">
        <f t="shared" si="2"/>
        <v>0</v>
      </c>
      <c r="E86" s="395"/>
      <c r="F86" s="380" t="s">
        <v>43</v>
      </c>
      <c r="G86" s="500">
        <v>0.99093125000000004</v>
      </c>
      <c r="H86" s="495">
        <v>0.99093125000000026</v>
      </c>
      <c r="I86" s="354">
        <f t="shared" si="3"/>
        <v>0</v>
      </c>
      <c r="J86" s="34"/>
    </row>
    <row r="87" spans="1:10" ht="14.5" x14ac:dyDescent="0.35">
      <c r="A87" s="363" t="s">
        <v>85</v>
      </c>
      <c r="B87" s="494">
        <v>151.55419900000001</v>
      </c>
      <c r="C87" s="495">
        <v>151.55419900000004</v>
      </c>
      <c r="D87" s="354">
        <f t="shared" si="2"/>
        <v>0</v>
      </c>
      <c r="E87" s="395"/>
      <c r="F87" s="380" t="s">
        <v>44</v>
      </c>
      <c r="G87" s="500">
        <v>0.42523022999999999</v>
      </c>
      <c r="H87" s="495">
        <v>0.42523022999999999</v>
      </c>
      <c r="I87" s="354">
        <f t="shared" si="3"/>
        <v>0</v>
      </c>
      <c r="J87" s="34"/>
    </row>
    <row r="88" spans="1:10" ht="14.5" x14ac:dyDescent="0.35">
      <c r="A88" s="363" t="s">
        <v>86</v>
      </c>
      <c r="B88" s="494">
        <v>1.311E-2</v>
      </c>
      <c r="C88" s="495">
        <v>1.311E-2</v>
      </c>
      <c r="D88" s="354">
        <f t="shared" si="2"/>
        <v>0</v>
      </c>
      <c r="E88" s="395"/>
      <c r="F88" s="380" t="s">
        <v>45</v>
      </c>
      <c r="G88" s="500">
        <v>1.89856673</v>
      </c>
      <c r="H88" s="495">
        <v>1.89856673</v>
      </c>
      <c r="I88" s="354">
        <f t="shared" si="3"/>
        <v>0</v>
      </c>
      <c r="J88" s="34"/>
    </row>
    <row r="89" spans="1:10" ht="14.5" x14ac:dyDescent="0.35">
      <c r="A89" s="363" t="s">
        <v>87</v>
      </c>
      <c r="B89" s="494">
        <v>1.7988224100000001</v>
      </c>
      <c r="C89" s="495">
        <v>1.7988224099999999</v>
      </c>
      <c r="D89" s="354">
        <f t="shared" si="2"/>
        <v>0</v>
      </c>
      <c r="E89" s="395"/>
      <c r="F89" s="380" t="s">
        <v>46</v>
      </c>
      <c r="G89" s="500">
        <v>0.11843361999999999</v>
      </c>
      <c r="H89" s="495">
        <v>0.11843361999999999</v>
      </c>
      <c r="I89" s="354">
        <f t="shared" si="3"/>
        <v>0</v>
      </c>
      <c r="J89" s="34"/>
    </row>
    <row r="90" spans="1:10" ht="14.5" x14ac:dyDescent="0.35">
      <c r="A90" s="363" t="s">
        <v>88</v>
      </c>
      <c r="B90" s="494">
        <v>17.21494422</v>
      </c>
      <c r="C90" s="495">
        <v>17.214944219999996</v>
      </c>
      <c r="D90" s="354">
        <f t="shared" si="2"/>
        <v>0</v>
      </c>
      <c r="E90" s="395"/>
      <c r="F90" s="380" t="s">
        <v>47</v>
      </c>
      <c r="G90" s="500">
        <v>8.4662559999999998E-2</v>
      </c>
      <c r="H90" s="495">
        <v>8.4662559999999998E-2</v>
      </c>
      <c r="I90" s="354">
        <f t="shared" si="3"/>
        <v>0</v>
      </c>
      <c r="J90" s="34"/>
    </row>
    <row r="91" spans="1:10" ht="14.5" x14ac:dyDescent="0.35">
      <c r="A91" s="363" t="s">
        <v>89</v>
      </c>
      <c r="B91" s="494">
        <v>0.34126505000000007</v>
      </c>
      <c r="C91" s="495">
        <v>0.34126504999999996</v>
      </c>
      <c r="D91" s="354">
        <f t="shared" si="2"/>
        <v>0</v>
      </c>
      <c r="E91" s="395"/>
      <c r="F91" s="380" t="s">
        <v>48</v>
      </c>
      <c r="G91" s="500">
        <v>7.5375640199999996</v>
      </c>
      <c r="H91" s="495">
        <v>7.5375640199999978</v>
      </c>
      <c r="I91" s="354">
        <f t="shared" si="3"/>
        <v>0</v>
      </c>
      <c r="J91" s="34"/>
    </row>
    <row r="92" spans="1:10" ht="14.5" x14ac:dyDescent="0.35">
      <c r="A92" s="363" t="s">
        <v>90</v>
      </c>
      <c r="B92" s="494">
        <v>2.1838783899999998</v>
      </c>
      <c r="C92" s="495">
        <v>2.1838783899999998</v>
      </c>
      <c r="D92" s="354">
        <f t="shared" si="2"/>
        <v>0</v>
      </c>
      <c r="E92" s="395"/>
      <c r="F92" s="380" t="s">
        <v>49</v>
      </c>
      <c r="G92" s="500">
        <v>3.9899999999999998E-2</v>
      </c>
      <c r="H92" s="495">
        <v>3.9899999999999998E-2</v>
      </c>
      <c r="I92" s="354">
        <f t="shared" si="3"/>
        <v>0</v>
      </c>
      <c r="J92" s="34"/>
    </row>
    <row r="93" spans="1:10" ht="14.5" x14ac:dyDescent="0.35">
      <c r="A93" s="363" t="s">
        <v>93</v>
      </c>
      <c r="B93" s="494">
        <v>0.15830917</v>
      </c>
      <c r="C93" s="495">
        <v>0.15830917</v>
      </c>
      <c r="D93" s="354">
        <f t="shared" si="2"/>
        <v>0</v>
      </c>
      <c r="E93" s="395"/>
      <c r="F93" s="380" t="s">
        <v>50</v>
      </c>
      <c r="G93" s="500">
        <v>7.7608880000000005E-2</v>
      </c>
      <c r="H93" s="495">
        <v>7.7608879999999991E-2</v>
      </c>
      <c r="I93" s="354">
        <f t="shared" si="3"/>
        <v>0</v>
      </c>
      <c r="J93" s="34"/>
    </row>
    <row r="94" spans="1:10" ht="14.5" x14ac:dyDescent="0.35">
      <c r="A94" s="363" t="s">
        <v>94</v>
      </c>
      <c r="B94" s="494">
        <v>6.6730639399999996</v>
      </c>
      <c r="C94" s="495">
        <v>6.6730639400000005</v>
      </c>
      <c r="D94" s="354">
        <f t="shared" si="2"/>
        <v>0</v>
      </c>
      <c r="E94" s="395"/>
      <c r="F94" s="380" t="s">
        <v>51</v>
      </c>
      <c r="G94" s="500">
        <v>5.3238000000000005E-4</v>
      </c>
      <c r="H94" s="495">
        <v>5.3237999999999994E-4</v>
      </c>
      <c r="I94" s="354">
        <f t="shared" si="3"/>
        <v>0</v>
      </c>
      <c r="J94" s="34"/>
    </row>
    <row r="95" spans="1:10" ht="14.5" x14ac:dyDescent="0.35">
      <c r="A95" s="363" t="s">
        <v>95</v>
      </c>
      <c r="B95" s="494">
        <v>0.8276535599999999</v>
      </c>
      <c r="C95" s="495">
        <v>0.82765356000000012</v>
      </c>
      <c r="D95" s="354">
        <f t="shared" si="2"/>
        <v>0</v>
      </c>
      <c r="E95" s="395"/>
      <c r="F95" s="380" t="s">
        <v>52</v>
      </c>
      <c r="G95" s="500">
        <v>553.47503275999998</v>
      </c>
      <c r="H95" s="495">
        <v>553.47503275999964</v>
      </c>
      <c r="I95" s="354">
        <f t="shared" si="3"/>
        <v>0</v>
      </c>
      <c r="J95" s="34"/>
    </row>
    <row r="96" spans="1:10" ht="14.5" x14ac:dyDescent="0.35">
      <c r="A96" s="363" t="s">
        <v>96</v>
      </c>
      <c r="B96" s="494">
        <v>74.378744689999991</v>
      </c>
      <c r="C96" s="495">
        <v>74.378744690000005</v>
      </c>
      <c r="D96" s="354">
        <f t="shared" si="2"/>
        <v>0</v>
      </c>
      <c r="E96" s="395"/>
      <c r="F96" s="380" t="s">
        <v>54</v>
      </c>
      <c r="G96" s="500">
        <v>220.21218934000001</v>
      </c>
      <c r="H96" s="495">
        <v>220.21218934000001</v>
      </c>
      <c r="I96" s="354">
        <f t="shared" si="3"/>
        <v>0</v>
      </c>
      <c r="J96" s="34"/>
    </row>
    <row r="97" spans="1:10" ht="14.5" x14ac:dyDescent="0.35">
      <c r="A97" s="363" t="s">
        <v>364</v>
      </c>
      <c r="B97" s="494">
        <v>1.7329999999999998E-5</v>
      </c>
      <c r="C97" s="495">
        <v>1.7329999999999998E-5</v>
      </c>
      <c r="D97" s="354">
        <f t="shared" si="2"/>
        <v>0</v>
      </c>
      <c r="E97" s="395"/>
      <c r="F97" s="380" t="s">
        <v>55</v>
      </c>
      <c r="G97" s="500">
        <v>8.1589999999999996E-3</v>
      </c>
      <c r="H97" s="495">
        <v>8.1589999999999996E-3</v>
      </c>
      <c r="I97" s="354">
        <f t="shared" si="3"/>
        <v>0</v>
      </c>
      <c r="J97" s="34"/>
    </row>
    <row r="98" spans="1:10" ht="14.5" x14ac:dyDescent="0.35">
      <c r="A98" s="363" t="s">
        <v>97</v>
      </c>
      <c r="B98" s="494">
        <v>6.9900477299999997</v>
      </c>
      <c r="C98" s="495">
        <v>6.9900477299999988</v>
      </c>
      <c r="D98" s="354">
        <f t="shared" si="2"/>
        <v>0</v>
      </c>
      <c r="E98" s="395"/>
      <c r="F98" s="380" t="s">
        <v>56</v>
      </c>
      <c r="G98" s="500">
        <v>0.12873600999999998</v>
      </c>
      <c r="H98" s="495">
        <v>0.12873601000000001</v>
      </c>
      <c r="I98" s="354">
        <f t="shared" si="3"/>
        <v>0</v>
      </c>
      <c r="J98" s="34"/>
    </row>
    <row r="99" spans="1:10" ht="14.5" x14ac:dyDescent="0.35">
      <c r="A99" s="363" t="s">
        <v>99</v>
      </c>
      <c r="B99" s="494">
        <v>1.03410596</v>
      </c>
      <c r="C99" s="495">
        <v>1.0341059599999998</v>
      </c>
      <c r="D99" s="354">
        <f t="shared" si="2"/>
        <v>0</v>
      </c>
      <c r="E99" s="395"/>
      <c r="F99" s="380" t="s">
        <v>57</v>
      </c>
      <c r="G99" s="500">
        <v>2.0219157000000001</v>
      </c>
      <c r="H99" s="495">
        <v>2.0219157000000001</v>
      </c>
      <c r="I99" s="354">
        <f t="shared" si="3"/>
        <v>0</v>
      </c>
      <c r="J99" s="34"/>
    </row>
    <row r="100" spans="1:10" ht="14.5" x14ac:dyDescent="0.35">
      <c r="A100" s="363" t="s">
        <v>100</v>
      </c>
      <c r="B100" s="494">
        <v>8.0051869999999997E-2</v>
      </c>
      <c r="C100" s="495">
        <v>8.0051870000000011E-2</v>
      </c>
      <c r="D100" s="354">
        <f t="shared" si="2"/>
        <v>0</v>
      </c>
      <c r="E100" s="395"/>
      <c r="F100" s="380" t="s">
        <v>58</v>
      </c>
      <c r="G100" s="500">
        <v>15.64980057</v>
      </c>
      <c r="H100" s="495">
        <v>15.649800569999998</v>
      </c>
      <c r="I100" s="354">
        <f t="shared" si="3"/>
        <v>0</v>
      </c>
      <c r="J100" s="34"/>
    </row>
    <row r="101" spans="1:10" ht="14.5" x14ac:dyDescent="0.35">
      <c r="A101" s="363" t="s">
        <v>101</v>
      </c>
      <c r="B101" s="494">
        <v>106.01809827</v>
      </c>
      <c r="C101" s="495">
        <v>106.01809827000001</v>
      </c>
      <c r="D101" s="354">
        <f t="shared" si="2"/>
        <v>0</v>
      </c>
      <c r="E101" s="395"/>
      <c r="F101" s="380" t="s">
        <v>59</v>
      </c>
      <c r="G101" s="500">
        <v>7.6523596300000003</v>
      </c>
      <c r="H101" s="495">
        <v>7.6523596299999994</v>
      </c>
      <c r="I101" s="354">
        <f t="shared" si="3"/>
        <v>0</v>
      </c>
      <c r="J101" s="34"/>
    </row>
    <row r="102" spans="1:10" ht="14.5" x14ac:dyDescent="0.35">
      <c r="A102" s="363" t="s">
        <v>102</v>
      </c>
      <c r="B102" s="494">
        <v>2.3485918699999999</v>
      </c>
      <c r="C102" s="495">
        <v>2.3485918699999999</v>
      </c>
      <c r="D102" s="354">
        <f t="shared" si="2"/>
        <v>0</v>
      </c>
      <c r="E102" s="395"/>
      <c r="F102" s="380" t="s">
        <v>60</v>
      </c>
      <c r="G102" s="500">
        <v>0.71330196000000001</v>
      </c>
      <c r="H102" s="495">
        <v>0.7133019599999999</v>
      </c>
      <c r="I102" s="354">
        <f t="shared" si="3"/>
        <v>0</v>
      </c>
      <c r="J102" s="34"/>
    </row>
    <row r="103" spans="1:10" ht="14.5" x14ac:dyDescent="0.35">
      <c r="A103" s="363" t="s">
        <v>103</v>
      </c>
      <c r="B103" s="494">
        <v>1.4852878600000001</v>
      </c>
      <c r="C103" s="495">
        <v>1.4852878599999999</v>
      </c>
      <c r="D103" s="354">
        <f t="shared" si="2"/>
        <v>0</v>
      </c>
      <c r="E103" s="395"/>
      <c r="F103" s="380" t="s">
        <v>61</v>
      </c>
      <c r="G103" s="500">
        <v>7.3139999999999994E-5</v>
      </c>
      <c r="H103" s="495">
        <v>7.3139999999999994E-5</v>
      </c>
      <c r="I103" s="354">
        <f t="shared" si="3"/>
        <v>0</v>
      </c>
      <c r="J103" s="34"/>
    </row>
    <row r="104" spans="1:10" ht="14.5" x14ac:dyDescent="0.35">
      <c r="A104" s="363" t="s">
        <v>104</v>
      </c>
      <c r="B104" s="494">
        <v>7.1567419599999997</v>
      </c>
      <c r="C104" s="495">
        <v>7.1567419599999988</v>
      </c>
      <c r="D104" s="354">
        <f t="shared" si="2"/>
        <v>0</v>
      </c>
      <c r="E104" s="395"/>
      <c r="F104" s="380" t="s">
        <v>63</v>
      </c>
      <c r="G104" s="500">
        <v>14.62457172</v>
      </c>
      <c r="H104" s="495">
        <v>14.624571719999999</v>
      </c>
      <c r="I104" s="354">
        <f t="shared" si="3"/>
        <v>0</v>
      </c>
      <c r="J104" s="34"/>
    </row>
    <row r="105" spans="1:10" ht="14.5" x14ac:dyDescent="0.35">
      <c r="A105" s="363" t="s">
        <v>105</v>
      </c>
      <c r="B105" s="494">
        <v>1.50397172</v>
      </c>
      <c r="C105" s="495">
        <v>1.50397172</v>
      </c>
      <c r="D105" s="354">
        <f t="shared" si="2"/>
        <v>0</v>
      </c>
      <c r="E105" s="395"/>
      <c r="F105" s="380" t="s">
        <v>375</v>
      </c>
      <c r="G105" s="500">
        <v>20.972764179999999</v>
      </c>
      <c r="H105" s="495">
        <v>20.972764180000002</v>
      </c>
      <c r="I105" s="354">
        <f t="shared" si="3"/>
        <v>0</v>
      </c>
      <c r="J105" s="34"/>
    </row>
    <row r="106" spans="1:10" ht="14.5" x14ac:dyDescent="0.35">
      <c r="A106" s="363" t="s">
        <v>106</v>
      </c>
      <c r="B106" s="494">
        <v>0.66902971999999994</v>
      </c>
      <c r="C106" s="495">
        <v>0.66902971999999994</v>
      </c>
      <c r="D106" s="354">
        <f t="shared" si="2"/>
        <v>0</v>
      </c>
      <c r="E106" s="395"/>
      <c r="F106" s="380" t="s">
        <v>369</v>
      </c>
      <c r="G106" s="500">
        <v>2.72574717</v>
      </c>
      <c r="H106" s="495">
        <v>2.72574717</v>
      </c>
      <c r="I106" s="354">
        <f t="shared" si="3"/>
        <v>0</v>
      </c>
      <c r="J106" s="34"/>
    </row>
    <row r="107" spans="1:10" ht="14.5" x14ac:dyDescent="0.35">
      <c r="A107" s="363" t="s">
        <v>107</v>
      </c>
      <c r="B107" s="494">
        <v>1.7296430000000002E-2</v>
      </c>
      <c r="C107" s="495">
        <v>1.7296430000000002E-2</v>
      </c>
      <c r="D107" s="354">
        <f t="shared" si="2"/>
        <v>0</v>
      </c>
      <c r="E107" s="395"/>
      <c r="F107" s="380" t="s">
        <v>64</v>
      </c>
      <c r="G107" s="500">
        <v>9.0081898800000015</v>
      </c>
      <c r="H107" s="495">
        <v>9.0081898800000015</v>
      </c>
      <c r="I107" s="354">
        <f t="shared" si="3"/>
        <v>0</v>
      </c>
      <c r="J107" s="34"/>
    </row>
    <row r="108" spans="1:10" ht="14.5" x14ac:dyDescent="0.35">
      <c r="A108" s="363" t="s">
        <v>109</v>
      </c>
      <c r="B108" s="494">
        <v>1.6110280000000001E-2</v>
      </c>
      <c r="C108" s="495">
        <v>1.6110280000000001E-2</v>
      </c>
      <c r="D108" s="354">
        <f t="shared" si="2"/>
        <v>0</v>
      </c>
      <c r="E108" s="395"/>
      <c r="F108" s="380" t="s">
        <v>363</v>
      </c>
      <c r="G108" s="500">
        <v>1.14378E-2</v>
      </c>
      <c r="H108" s="495">
        <v>1.14378E-2</v>
      </c>
      <c r="I108" s="354">
        <f t="shared" si="3"/>
        <v>0</v>
      </c>
      <c r="J108" s="34"/>
    </row>
    <row r="109" spans="1:10" ht="14.5" x14ac:dyDescent="0.35">
      <c r="A109" s="363" t="s">
        <v>110</v>
      </c>
      <c r="B109" s="494">
        <v>5.5432200000000006E-3</v>
      </c>
      <c r="C109" s="495">
        <v>5.5432199999999997E-3</v>
      </c>
      <c r="D109" s="354">
        <f t="shared" si="2"/>
        <v>0</v>
      </c>
      <c r="E109" s="395"/>
      <c r="F109" s="380" t="s">
        <v>65</v>
      </c>
      <c r="G109" s="500">
        <v>0.37417717</v>
      </c>
      <c r="H109" s="495">
        <v>0.37417716999999995</v>
      </c>
      <c r="I109" s="354">
        <f t="shared" si="3"/>
        <v>0</v>
      </c>
      <c r="J109" s="34"/>
    </row>
    <row r="110" spans="1:10" ht="14.5" x14ac:dyDescent="0.35">
      <c r="A110" s="363" t="s">
        <v>349</v>
      </c>
      <c r="B110" s="494">
        <v>1E-4</v>
      </c>
      <c r="C110" s="495">
        <v>1E-4</v>
      </c>
      <c r="D110" s="354">
        <f t="shared" si="2"/>
        <v>0</v>
      </c>
      <c r="E110" s="395"/>
      <c r="F110" s="380" t="s">
        <v>66</v>
      </c>
      <c r="G110" s="500">
        <v>123.04230095</v>
      </c>
      <c r="H110" s="495">
        <v>123.04230095000001</v>
      </c>
      <c r="I110" s="354">
        <f t="shared" si="3"/>
        <v>0</v>
      </c>
      <c r="J110" s="34"/>
    </row>
    <row r="111" spans="1:10" ht="14.5" x14ac:dyDescent="0.35">
      <c r="A111" s="363" t="s">
        <v>111</v>
      </c>
      <c r="B111" s="494">
        <v>4.7417700000000002E-3</v>
      </c>
      <c r="C111" s="495">
        <v>4.7417700000000002E-3</v>
      </c>
      <c r="D111" s="354">
        <f t="shared" si="2"/>
        <v>0</v>
      </c>
      <c r="E111" s="395"/>
      <c r="F111" s="380" t="s">
        <v>67</v>
      </c>
      <c r="G111" s="500">
        <v>4.9672300099999998</v>
      </c>
      <c r="H111" s="495">
        <v>4.9672300100000006</v>
      </c>
      <c r="I111" s="354">
        <f t="shared" si="3"/>
        <v>0</v>
      </c>
      <c r="J111" s="34"/>
    </row>
    <row r="112" spans="1:10" ht="14.5" x14ac:dyDescent="0.35">
      <c r="A112" s="363" t="s">
        <v>112</v>
      </c>
      <c r="B112" s="494">
        <v>0.44505811000000001</v>
      </c>
      <c r="C112" s="495">
        <v>0.44505811000000001</v>
      </c>
      <c r="D112" s="354">
        <f t="shared" si="2"/>
        <v>0</v>
      </c>
      <c r="E112" s="395"/>
      <c r="F112" s="380" t="s">
        <v>354</v>
      </c>
      <c r="G112" s="500">
        <v>0.37239247999999997</v>
      </c>
      <c r="H112" s="495">
        <v>0.37239248000000003</v>
      </c>
      <c r="I112" s="354">
        <f t="shared" si="3"/>
        <v>0</v>
      </c>
      <c r="J112" s="34"/>
    </row>
    <row r="113" spans="1:10" ht="14.5" x14ac:dyDescent="0.35">
      <c r="A113" s="363" t="s">
        <v>114</v>
      </c>
      <c r="B113" s="494">
        <v>0.24426824</v>
      </c>
      <c r="C113" s="495">
        <v>0.24426824</v>
      </c>
      <c r="D113" s="354">
        <f t="shared" si="2"/>
        <v>0</v>
      </c>
      <c r="E113" s="395"/>
      <c r="F113" s="380" t="s">
        <v>68</v>
      </c>
      <c r="G113" s="500">
        <v>2.6146083199999999</v>
      </c>
      <c r="H113" s="495">
        <v>2.6146083200000003</v>
      </c>
      <c r="I113" s="354">
        <f t="shared" si="3"/>
        <v>0</v>
      </c>
      <c r="J113" s="34"/>
    </row>
    <row r="114" spans="1:10" ht="14.5" x14ac:dyDescent="0.35">
      <c r="A114" s="363" t="s">
        <v>115</v>
      </c>
      <c r="B114" s="494">
        <v>42.068196229999998</v>
      </c>
      <c r="C114" s="495">
        <v>42.068196229999998</v>
      </c>
      <c r="D114" s="354">
        <f t="shared" si="2"/>
        <v>0</v>
      </c>
      <c r="E114" s="395"/>
      <c r="F114" s="380" t="s">
        <v>69</v>
      </c>
      <c r="G114" s="500">
        <v>1.1989963000000001</v>
      </c>
      <c r="H114" s="495">
        <v>1.1989963000000001</v>
      </c>
      <c r="I114" s="354">
        <f t="shared" si="3"/>
        <v>0</v>
      </c>
      <c r="J114" s="34"/>
    </row>
    <row r="115" spans="1:10" ht="14.5" x14ac:dyDescent="0.35">
      <c r="A115" s="363" t="s">
        <v>116</v>
      </c>
      <c r="B115" s="494">
        <v>5.8808239499999999</v>
      </c>
      <c r="C115" s="495">
        <v>5.8808239499999999</v>
      </c>
      <c r="D115" s="354">
        <f t="shared" si="2"/>
        <v>0</v>
      </c>
      <c r="E115" s="395"/>
      <c r="F115" s="380" t="s">
        <v>70</v>
      </c>
      <c r="G115" s="500">
        <v>2.2732380999999999</v>
      </c>
      <c r="H115" s="495">
        <v>2.2732380999999999</v>
      </c>
      <c r="I115" s="354">
        <f t="shared" si="3"/>
        <v>0</v>
      </c>
      <c r="J115" s="34"/>
    </row>
    <row r="116" spans="1:10" ht="14.5" x14ac:dyDescent="0.35">
      <c r="A116" s="363" t="s">
        <v>117</v>
      </c>
      <c r="B116" s="494">
        <v>2.3248541899999999</v>
      </c>
      <c r="C116" s="495">
        <v>2.3248541899999999</v>
      </c>
      <c r="D116" s="354">
        <f t="shared" si="2"/>
        <v>0</v>
      </c>
      <c r="E116" s="395"/>
      <c r="F116" s="380" t="s">
        <v>71</v>
      </c>
      <c r="G116" s="500">
        <v>14.92098758</v>
      </c>
      <c r="H116" s="495">
        <v>14.920987580000002</v>
      </c>
      <c r="I116" s="354">
        <f t="shared" si="3"/>
        <v>0</v>
      </c>
      <c r="J116" s="34"/>
    </row>
    <row r="117" spans="1:10" ht="14.5" x14ac:dyDescent="0.35">
      <c r="A117" s="363" t="s">
        <v>118</v>
      </c>
      <c r="B117" s="494">
        <v>1.4018657000000001</v>
      </c>
      <c r="C117" s="495">
        <v>1.4018656999999999</v>
      </c>
      <c r="D117" s="354">
        <f t="shared" si="2"/>
        <v>0</v>
      </c>
      <c r="E117" s="395"/>
      <c r="F117" s="380" t="s">
        <v>72</v>
      </c>
      <c r="G117" s="500">
        <v>3.7319561800000001</v>
      </c>
      <c r="H117" s="495">
        <v>3.7319561799999996</v>
      </c>
      <c r="I117" s="354">
        <f t="shared" si="3"/>
        <v>0</v>
      </c>
      <c r="J117" s="34"/>
    </row>
    <row r="118" spans="1:10" ht="14.5" x14ac:dyDescent="0.35">
      <c r="A118" s="363" t="s">
        <v>119</v>
      </c>
      <c r="B118" s="494">
        <v>0.85083506999999992</v>
      </c>
      <c r="C118" s="495">
        <v>0.85083507000000003</v>
      </c>
      <c r="D118" s="354">
        <f t="shared" si="2"/>
        <v>0</v>
      </c>
      <c r="E118" s="395"/>
      <c r="F118" s="380" t="s">
        <v>73</v>
      </c>
      <c r="G118" s="500">
        <v>1.00255395</v>
      </c>
      <c r="H118" s="495">
        <v>1.00255395</v>
      </c>
      <c r="I118" s="354">
        <f t="shared" si="3"/>
        <v>0</v>
      </c>
      <c r="J118" s="34"/>
    </row>
    <row r="119" spans="1:10" ht="14.5" x14ac:dyDescent="0.35">
      <c r="A119" s="363" t="s">
        <v>120</v>
      </c>
      <c r="B119" s="494">
        <v>5.4377410000000001E-2</v>
      </c>
      <c r="C119" s="495">
        <v>5.4377410000000001E-2</v>
      </c>
      <c r="D119" s="354">
        <f t="shared" si="2"/>
        <v>0</v>
      </c>
      <c r="E119" s="395"/>
      <c r="F119" s="380" t="s">
        <v>74</v>
      </c>
      <c r="G119" s="500">
        <v>124.12772140999999</v>
      </c>
      <c r="H119" s="495">
        <v>124.12772140999999</v>
      </c>
      <c r="I119" s="354">
        <f t="shared" si="3"/>
        <v>0</v>
      </c>
      <c r="J119" s="34"/>
    </row>
    <row r="120" spans="1:10" ht="14.5" x14ac:dyDescent="0.35">
      <c r="A120" s="363" t="s">
        <v>121</v>
      </c>
      <c r="B120" s="494">
        <v>1871.3305839499999</v>
      </c>
      <c r="C120" s="495">
        <v>1871.3305839499999</v>
      </c>
      <c r="D120" s="354">
        <f t="shared" si="2"/>
        <v>0</v>
      </c>
      <c r="E120" s="395"/>
      <c r="F120" s="380" t="s">
        <v>75</v>
      </c>
      <c r="G120" s="500">
        <v>62.700836559999999</v>
      </c>
      <c r="H120" s="495">
        <v>62.700836559999999</v>
      </c>
      <c r="I120" s="354">
        <f t="shared" si="3"/>
        <v>0</v>
      </c>
      <c r="J120" s="34"/>
    </row>
    <row r="121" spans="1:10" ht="14.5" x14ac:dyDescent="0.35">
      <c r="A121" s="363" t="s">
        <v>123</v>
      </c>
      <c r="B121" s="494">
        <v>4.3602900000000002E-3</v>
      </c>
      <c r="C121" s="495">
        <v>4.3602900000000002E-3</v>
      </c>
      <c r="D121" s="354">
        <f t="shared" si="2"/>
        <v>0</v>
      </c>
      <c r="E121" s="395"/>
      <c r="F121" s="380" t="s">
        <v>76</v>
      </c>
      <c r="G121" s="500">
        <v>36.439821270000003</v>
      </c>
      <c r="H121" s="495">
        <v>36.439821269999982</v>
      </c>
      <c r="I121" s="354">
        <f t="shared" si="3"/>
        <v>0</v>
      </c>
      <c r="J121" s="34"/>
    </row>
    <row r="122" spans="1:10" ht="14.5" x14ac:dyDescent="0.35">
      <c r="A122" s="363" t="s">
        <v>124</v>
      </c>
      <c r="B122" s="494">
        <v>0.44973637</v>
      </c>
      <c r="C122" s="495">
        <v>0.44973637</v>
      </c>
      <c r="D122" s="354">
        <f t="shared" si="2"/>
        <v>0</v>
      </c>
      <c r="E122" s="395"/>
      <c r="F122" s="380" t="s">
        <v>77</v>
      </c>
      <c r="G122" s="500">
        <v>0.11298367999999999</v>
      </c>
      <c r="H122" s="495">
        <v>0.11298368</v>
      </c>
      <c r="I122" s="354">
        <f t="shared" si="3"/>
        <v>0</v>
      </c>
      <c r="J122" s="34"/>
    </row>
    <row r="123" spans="1:10" ht="14.5" x14ac:dyDescent="0.35">
      <c r="A123" s="363" t="s">
        <v>125</v>
      </c>
      <c r="B123" s="494">
        <v>68.963921739999989</v>
      </c>
      <c r="C123" s="495">
        <v>68.963921739999975</v>
      </c>
      <c r="D123" s="354">
        <f t="shared" si="2"/>
        <v>0</v>
      </c>
      <c r="E123" s="395"/>
      <c r="F123" s="380" t="s">
        <v>379</v>
      </c>
      <c r="G123" s="500">
        <v>3.1501632499999999</v>
      </c>
      <c r="H123" s="495">
        <v>3.1501632499999994</v>
      </c>
      <c r="I123" s="354">
        <f t="shared" si="3"/>
        <v>0</v>
      </c>
      <c r="J123" s="34"/>
    </row>
    <row r="124" spans="1:10" ht="14.5" x14ac:dyDescent="0.35">
      <c r="A124" s="363" t="s">
        <v>126</v>
      </c>
      <c r="B124" s="494">
        <v>0.13232275000000002</v>
      </c>
      <c r="C124" s="495">
        <v>0.13232274999999999</v>
      </c>
      <c r="D124" s="354">
        <f t="shared" si="2"/>
        <v>0</v>
      </c>
      <c r="E124" s="395"/>
      <c r="F124" s="380" t="s">
        <v>78</v>
      </c>
      <c r="G124" s="500">
        <v>1.22365594</v>
      </c>
      <c r="H124" s="495">
        <v>1.2236559399999998</v>
      </c>
      <c r="I124" s="354">
        <f t="shared" si="3"/>
        <v>0</v>
      </c>
      <c r="J124" s="34"/>
    </row>
    <row r="125" spans="1:10" ht="14.5" x14ac:dyDescent="0.35">
      <c r="A125" s="363" t="s">
        <v>127</v>
      </c>
      <c r="B125" s="494">
        <v>1.87910669</v>
      </c>
      <c r="C125" s="495">
        <v>1.8791066900000002</v>
      </c>
      <c r="D125" s="354">
        <f t="shared" si="2"/>
        <v>0</v>
      </c>
      <c r="E125" s="395"/>
      <c r="F125" s="380" t="s">
        <v>79</v>
      </c>
      <c r="G125" s="500">
        <v>26.179783260000001</v>
      </c>
      <c r="H125" s="495">
        <v>26.179783260000008</v>
      </c>
      <c r="I125" s="354">
        <f t="shared" si="3"/>
        <v>0</v>
      </c>
      <c r="J125" s="34"/>
    </row>
    <row r="126" spans="1:10" ht="14.5" x14ac:dyDescent="0.35">
      <c r="A126" s="363" t="s">
        <v>650</v>
      </c>
      <c r="B126" s="494">
        <v>91.135311110000004</v>
      </c>
      <c r="C126" s="495">
        <v>91.135311110000004</v>
      </c>
      <c r="D126" s="354">
        <f t="shared" si="2"/>
        <v>0</v>
      </c>
      <c r="E126" s="395"/>
      <c r="F126" s="380" t="s">
        <v>81</v>
      </c>
      <c r="G126" s="500">
        <v>168.08176885</v>
      </c>
      <c r="H126" s="495">
        <v>168.08176885</v>
      </c>
      <c r="I126" s="354">
        <f t="shared" si="3"/>
        <v>0</v>
      </c>
      <c r="J126" s="34"/>
    </row>
    <row r="127" spans="1:10" ht="14.5" x14ac:dyDescent="0.35">
      <c r="A127" s="363" t="s">
        <v>129</v>
      </c>
      <c r="B127" s="494">
        <v>1.8822020000000002E-2</v>
      </c>
      <c r="C127" s="495">
        <v>1.8822020000000002E-2</v>
      </c>
      <c r="D127" s="354">
        <f t="shared" si="2"/>
        <v>0</v>
      </c>
      <c r="E127" s="395"/>
      <c r="F127" s="380" t="s">
        <v>82</v>
      </c>
      <c r="G127" s="500">
        <v>11.833730289999998</v>
      </c>
      <c r="H127" s="495">
        <v>11.833730289999997</v>
      </c>
      <c r="I127" s="354">
        <f t="shared" si="3"/>
        <v>0</v>
      </c>
      <c r="J127" s="34"/>
    </row>
    <row r="128" spans="1:10" ht="14.5" x14ac:dyDescent="0.35">
      <c r="A128" s="363" t="s">
        <v>367</v>
      </c>
      <c r="B128" s="494">
        <v>3.2221109999999997E-2</v>
      </c>
      <c r="C128" s="495">
        <v>3.2221109999999997E-2</v>
      </c>
      <c r="D128" s="354">
        <f t="shared" si="2"/>
        <v>0</v>
      </c>
      <c r="E128" s="395"/>
      <c r="F128" s="380" t="s">
        <v>85</v>
      </c>
      <c r="G128" s="500">
        <v>118.48204215000001</v>
      </c>
      <c r="H128" s="495">
        <v>118.48204214999998</v>
      </c>
      <c r="I128" s="354">
        <f t="shared" si="3"/>
        <v>0</v>
      </c>
      <c r="J128" s="34"/>
    </row>
    <row r="129" spans="1:10" ht="14.5" x14ac:dyDescent="0.35">
      <c r="A129" s="363" t="s">
        <v>130</v>
      </c>
      <c r="B129" s="494">
        <v>7.5000000000000002E-4</v>
      </c>
      <c r="C129" s="495">
        <v>7.5000000000000002E-4</v>
      </c>
      <c r="D129" s="354">
        <f t="shared" si="2"/>
        <v>0</v>
      </c>
      <c r="E129" s="395"/>
      <c r="F129" s="380" t="s">
        <v>86</v>
      </c>
      <c r="G129" s="500">
        <v>33.102557249999997</v>
      </c>
      <c r="H129" s="495">
        <v>33.102557249999997</v>
      </c>
      <c r="I129" s="354">
        <f t="shared" si="3"/>
        <v>0</v>
      </c>
      <c r="J129" s="34"/>
    </row>
    <row r="130" spans="1:10" ht="14.5" x14ac:dyDescent="0.35">
      <c r="A130" s="363" t="s">
        <v>131</v>
      </c>
      <c r="B130" s="494">
        <v>2.0055559000000001</v>
      </c>
      <c r="C130" s="495">
        <v>2.0055559000000005</v>
      </c>
      <c r="D130" s="354">
        <f t="shared" si="2"/>
        <v>0</v>
      </c>
      <c r="E130" s="395"/>
      <c r="F130" s="380" t="s">
        <v>378</v>
      </c>
      <c r="G130" s="500">
        <v>1.00461724</v>
      </c>
      <c r="H130" s="495">
        <v>1.0046172400000002</v>
      </c>
      <c r="I130" s="354">
        <f t="shared" si="3"/>
        <v>0</v>
      </c>
      <c r="J130" s="34"/>
    </row>
    <row r="131" spans="1:10" ht="14.5" x14ac:dyDescent="0.35">
      <c r="A131" s="363" t="s">
        <v>132</v>
      </c>
      <c r="B131" s="494">
        <v>3.2831412200000001</v>
      </c>
      <c r="C131" s="495">
        <v>3.2831412200000001</v>
      </c>
      <c r="D131" s="354">
        <f t="shared" si="2"/>
        <v>0</v>
      </c>
      <c r="E131" s="395"/>
      <c r="F131" s="380" t="s">
        <v>348</v>
      </c>
      <c r="G131" s="500">
        <v>1.82474976</v>
      </c>
      <c r="H131" s="495">
        <v>1.8247497600000002</v>
      </c>
      <c r="I131" s="354">
        <f t="shared" si="3"/>
        <v>0</v>
      </c>
      <c r="J131" s="34"/>
    </row>
    <row r="132" spans="1:10" ht="14.5" x14ac:dyDescent="0.35">
      <c r="A132" s="363" t="s">
        <v>133</v>
      </c>
      <c r="B132" s="494">
        <v>0.66457195999999996</v>
      </c>
      <c r="C132" s="495">
        <v>0.66457196000000007</v>
      </c>
      <c r="D132" s="354">
        <f t="shared" si="2"/>
        <v>0</v>
      </c>
      <c r="E132" s="395"/>
      <c r="F132" s="380" t="s">
        <v>87</v>
      </c>
      <c r="G132" s="500">
        <v>3.0264189799999999</v>
      </c>
      <c r="H132" s="495">
        <v>3.0264189799999999</v>
      </c>
      <c r="I132" s="354">
        <f t="shared" si="3"/>
        <v>0</v>
      </c>
      <c r="J132" s="34"/>
    </row>
    <row r="133" spans="1:10" ht="14.5" x14ac:dyDescent="0.35">
      <c r="A133" s="363" t="s">
        <v>134</v>
      </c>
      <c r="B133" s="494">
        <v>1.4012837300000003</v>
      </c>
      <c r="C133" s="495">
        <v>1.4012837300000003</v>
      </c>
      <c r="D133" s="354">
        <f t="shared" si="2"/>
        <v>0</v>
      </c>
      <c r="E133" s="395"/>
      <c r="F133" s="380" t="s">
        <v>88</v>
      </c>
      <c r="G133" s="500">
        <v>49.033357799999997</v>
      </c>
      <c r="H133" s="495">
        <v>49.03335779999999</v>
      </c>
      <c r="I133" s="354">
        <f t="shared" si="3"/>
        <v>0</v>
      </c>
      <c r="J133" s="34"/>
    </row>
    <row r="134" spans="1:10" ht="14.5" x14ac:dyDescent="0.35">
      <c r="A134" s="363" t="s">
        <v>135</v>
      </c>
      <c r="B134" s="494">
        <v>1.9518234500000002</v>
      </c>
      <c r="C134" s="495">
        <v>1.9518234500000002</v>
      </c>
      <c r="D134" s="354">
        <f t="shared" si="2"/>
        <v>0</v>
      </c>
      <c r="E134" s="395"/>
      <c r="F134" s="380" t="s">
        <v>89</v>
      </c>
      <c r="G134" s="500">
        <v>22.44160128</v>
      </c>
      <c r="H134" s="495">
        <v>22.44160127999999</v>
      </c>
      <c r="I134" s="354">
        <f t="shared" si="3"/>
        <v>0</v>
      </c>
      <c r="J134" s="34"/>
    </row>
    <row r="135" spans="1:10" ht="14.5" x14ac:dyDescent="0.35">
      <c r="A135" s="363" t="s">
        <v>136</v>
      </c>
      <c r="B135" s="494">
        <v>3.2157319999999996E-2</v>
      </c>
      <c r="C135" s="495">
        <v>3.2157320000000003E-2</v>
      </c>
      <c r="D135" s="354">
        <f t="shared" si="2"/>
        <v>0</v>
      </c>
      <c r="E135" s="395"/>
      <c r="F135" s="380" t="s">
        <v>90</v>
      </c>
      <c r="G135" s="500">
        <v>26.06878395</v>
      </c>
      <c r="H135" s="495">
        <v>26.068783950000004</v>
      </c>
      <c r="I135" s="354">
        <f t="shared" si="3"/>
        <v>0</v>
      </c>
      <c r="J135" s="34"/>
    </row>
    <row r="136" spans="1:10" ht="14.5" x14ac:dyDescent="0.35">
      <c r="A136" s="363" t="s">
        <v>137</v>
      </c>
      <c r="B136" s="494">
        <v>2.5195262799999996</v>
      </c>
      <c r="C136" s="495">
        <v>2.5195262800000005</v>
      </c>
      <c r="D136" s="354">
        <f t="shared" si="2"/>
        <v>0</v>
      </c>
      <c r="E136" s="395"/>
      <c r="F136" s="380" t="s">
        <v>91</v>
      </c>
      <c r="G136" s="500">
        <v>0.85536025000000004</v>
      </c>
      <c r="H136" s="495">
        <v>0.85536024999999982</v>
      </c>
      <c r="I136" s="354">
        <f t="shared" si="3"/>
        <v>0</v>
      </c>
      <c r="J136" s="34"/>
    </row>
    <row r="137" spans="1:10" ht="14.5" x14ac:dyDescent="0.35">
      <c r="A137" s="363" t="s">
        <v>140</v>
      </c>
      <c r="B137" s="494">
        <v>3.88799604</v>
      </c>
      <c r="C137" s="495">
        <v>3.8879960399999991</v>
      </c>
      <c r="D137" s="354">
        <f t="shared" si="2"/>
        <v>0</v>
      </c>
      <c r="E137" s="395"/>
      <c r="F137" s="380" t="s">
        <v>92</v>
      </c>
      <c r="G137" s="500">
        <v>28.439904600000002</v>
      </c>
      <c r="H137" s="495">
        <v>28.439904600000002</v>
      </c>
      <c r="I137" s="354">
        <f t="shared" si="3"/>
        <v>0</v>
      </c>
      <c r="J137" s="34"/>
    </row>
    <row r="138" spans="1:10" ht="14.5" x14ac:dyDescent="0.35">
      <c r="A138" s="363" t="s">
        <v>141</v>
      </c>
      <c r="B138" s="494">
        <v>1.2E-2</v>
      </c>
      <c r="C138" s="495">
        <v>1.2E-2</v>
      </c>
      <c r="D138" s="354">
        <f t="shared" si="2"/>
        <v>0</v>
      </c>
      <c r="E138" s="395"/>
      <c r="F138" s="380" t="s">
        <v>93</v>
      </c>
      <c r="G138" s="500">
        <v>11.2584195</v>
      </c>
      <c r="H138" s="495">
        <v>11.258419500000004</v>
      </c>
      <c r="I138" s="354">
        <f t="shared" si="3"/>
        <v>0</v>
      </c>
      <c r="J138" s="34"/>
    </row>
    <row r="139" spans="1:10" ht="14.5" x14ac:dyDescent="0.35">
      <c r="A139" s="363" t="s">
        <v>142</v>
      </c>
      <c r="B139" s="494">
        <v>0.31403921999999995</v>
      </c>
      <c r="C139" s="495">
        <v>0.31403922000000001</v>
      </c>
      <c r="D139" s="354">
        <f t="shared" ref="D139:D202" si="4">C139-B139</f>
        <v>0</v>
      </c>
      <c r="E139" s="395"/>
      <c r="F139" s="380" t="s">
        <v>94</v>
      </c>
      <c r="G139" s="500">
        <v>25.056648160000002</v>
      </c>
      <c r="H139" s="495">
        <v>25.056648160000005</v>
      </c>
      <c r="I139" s="354">
        <f t="shared" ref="I139:I202" si="5">H139-G139</f>
        <v>0</v>
      </c>
      <c r="J139" s="34"/>
    </row>
    <row r="140" spans="1:10" ht="14.5" x14ac:dyDescent="0.35">
      <c r="A140" s="363" t="s">
        <v>143</v>
      </c>
      <c r="B140" s="494">
        <v>0.26935928999999997</v>
      </c>
      <c r="C140" s="495">
        <v>0.26935929000000003</v>
      </c>
      <c r="D140" s="354">
        <f t="shared" si="4"/>
        <v>0</v>
      </c>
      <c r="E140" s="395"/>
      <c r="F140" s="380" t="s">
        <v>95</v>
      </c>
      <c r="G140" s="500">
        <v>15.42955633</v>
      </c>
      <c r="H140" s="495">
        <v>15.42955633</v>
      </c>
      <c r="I140" s="354">
        <f t="shared" si="5"/>
        <v>0</v>
      </c>
      <c r="J140" s="34"/>
    </row>
    <row r="141" spans="1:10" ht="14.5" x14ac:dyDescent="0.35">
      <c r="A141" s="363" t="s">
        <v>144</v>
      </c>
      <c r="B141" s="494">
        <v>0.12682594999999999</v>
      </c>
      <c r="C141" s="495">
        <v>0.12682595000000002</v>
      </c>
      <c r="D141" s="354">
        <f t="shared" si="4"/>
        <v>0</v>
      </c>
      <c r="E141" s="395"/>
      <c r="F141" s="380" t="s">
        <v>96</v>
      </c>
      <c r="G141" s="500">
        <v>170.18475764999999</v>
      </c>
      <c r="H141" s="495">
        <v>170.18475765000005</v>
      </c>
      <c r="I141" s="354">
        <f t="shared" si="5"/>
        <v>0</v>
      </c>
      <c r="J141" s="34"/>
    </row>
    <row r="142" spans="1:10" ht="14.5" x14ac:dyDescent="0.35">
      <c r="A142" s="363" t="s">
        <v>146</v>
      </c>
      <c r="B142" s="494">
        <v>32.46305091</v>
      </c>
      <c r="C142" s="495">
        <v>32.46305091</v>
      </c>
      <c r="D142" s="354">
        <f t="shared" si="4"/>
        <v>0</v>
      </c>
      <c r="E142" s="395"/>
      <c r="F142" s="380" t="s">
        <v>364</v>
      </c>
      <c r="G142" s="500">
        <v>0.23960291</v>
      </c>
      <c r="H142" s="495">
        <v>0.23960291000000003</v>
      </c>
      <c r="I142" s="354">
        <f t="shared" si="5"/>
        <v>0</v>
      </c>
      <c r="J142" s="34"/>
    </row>
    <row r="143" spans="1:10" ht="14.5" x14ac:dyDescent="0.35">
      <c r="A143" s="363" t="s">
        <v>147</v>
      </c>
      <c r="B143" s="494">
        <v>0.85244611999999997</v>
      </c>
      <c r="C143" s="495">
        <v>0.85244611999999997</v>
      </c>
      <c r="D143" s="354">
        <f t="shared" si="4"/>
        <v>0</v>
      </c>
      <c r="E143" s="395"/>
      <c r="F143" s="380" t="s">
        <v>97</v>
      </c>
      <c r="G143" s="500">
        <v>3.7988327599999998</v>
      </c>
      <c r="H143" s="495">
        <v>3.7988327599999998</v>
      </c>
      <c r="I143" s="354">
        <f t="shared" si="5"/>
        <v>0</v>
      </c>
      <c r="J143" s="34"/>
    </row>
    <row r="144" spans="1:10" ht="14.5" x14ac:dyDescent="0.35">
      <c r="A144" s="363" t="s">
        <v>149</v>
      </c>
      <c r="B144" s="494">
        <v>1.154059E-2</v>
      </c>
      <c r="C144" s="495">
        <v>1.154059E-2</v>
      </c>
      <c r="D144" s="354">
        <f t="shared" si="4"/>
        <v>0</v>
      </c>
      <c r="E144" s="395"/>
      <c r="F144" s="380" t="s">
        <v>98</v>
      </c>
      <c r="G144" s="500">
        <v>0.51102126000000003</v>
      </c>
      <c r="H144" s="495">
        <v>0.51102126000000003</v>
      </c>
      <c r="I144" s="354">
        <f t="shared" si="5"/>
        <v>0</v>
      </c>
      <c r="J144" s="34"/>
    </row>
    <row r="145" spans="1:10" ht="14.5" x14ac:dyDescent="0.35">
      <c r="A145" s="363" t="s">
        <v>150</v>
      </c>
      <c r="B145" s="494">
        <v>3.4564350000000001E-2</v>
      </c>
      <c r="C145" s="495">
        <v>3.4564350000000001E-2</v>
      </c>
      <c r="D145" s="354">
        <f t="shared" si="4"/>
        <v>0</v>
      </c>
      <c r="E145" s="395"/>
      <c r="F145" s="380" t="s">
        <v>100</v>
      </c>
      <c r="G145" s="500">
        <v>13.33016825</v>
      </c>
      <c r="H145" s="495">
        <v>13.330168250000009</v>
      </c>
      <c r="I145" s="354">
        <f t="shared" si="5"/>
        <v>0</v>
      </c>
      <c r="J145" s="34"/>
    </row>
    <row r="146" spans="1:10" ht="14.5" x14ac:dyDescent="0.35">
      <c r="A146" s="363" t="s">
        <v>151</v>
      </c>
      <c r="B146" s="494">
        <v>3.11812216</v>
      </c>
      <c r="C146" s="495">
        <v>3.1181221599999991</v>
      </c>
      <c r="D146" s="354">
        <f t="shared" si="4"/>
        <v>0</v>
      </c>
      <c r="E146" s="395"/>
      <c r="F146" s="380" t="s">
        <v>376</v>
      </c>
      <c r="G146" s="500">
        <v>4.7634530000000001E-2</v>
      </c>
      <c r="H146" s="495">
        <v>4.7634530000000001E-2</v>
      </c>
      <c r="I146" s="354">
        <f t="shared" si="5"/>
        <v>0</v>
      </c>
      <c r="J146" s="34"/>
    </row>
    <row r="147" spans="1:10" ht="14.5" x14ac:dyDescent="0.35">
      <c r="A147" s="363" t="s">
        <v>152</v>
      </c>
      <c r="B147" s="494">
        <v>4.0724000000000003E-2</v>
      </c>
      <c r="C147" s="495">
        <v>4.0724000000000003E-2</v>
      </c>
      <c r="D147" s="354">
        <f t="shared" si="4"/>
        <v>0</v>
      </c>
      <c r="E147" s="395"/>
      <c r="F147" s="380" t="s">
        <v>103</v>
      </c>
      <c r="G147" s="500">
        <v>21.961552440000002</v>
      </c>
      <c r="H147" s="495">
        <v>21.961552439999998</v>
      </c>
      <c r="I147" s="354">
        <f t="shared" si="5"/>
        <v>0</v>
      </c>
      <c r="J147" s="34"/>
    </row>
    <row r="148" spans="1:10" ht="14.5" x14ac:dyDescent="0.35">
      <c r="A148" s="363" t="s">
        <v>153</v>
      </c>
      <c r="B148" s="494">
        <v>5.0000000000000001E-3</v>
      </c>
      <c r="C148" s="495">
        <v>5.0000000000000001E-3</v>
      </c>
      <c r="D148" s="354">
        <f t="shared" si="4"/>
        <v>0</v>
      </c>
      <c r="E148" s="395"/>
      <c r="F148" s="380" t="s">
        <v>104</v>
      </c>
      <c r="G148" s="500">
        <v>22.105068500000002</v>
      </c>
      <c r="H148" s="495">
        <v>22.105068500000009</v>
      </c>
      <c r="I148" s="354">
        <f t="shared" si="5"/>
        <v>0</v>
      </c>
      <c r="J148" s="34"/>
    </row>
    <row r="149" spans="1:10" ht="14.5" x14ac:dyDescent="0.35">
      <c r="A149" s="363" t="s">
        <v>154</v>
      </c>
      <c r="B149" s="494">
        <v>3.593184E-2</v>
      </c>
      <c r="C149" s="495">
        <v>3.593184E-2</v>
      </c>
      <c r="D149" s="354">
        <f t="shared" si="4"/>
        <v>0</v>
      </c>
      <c r="E149" s="395"/>
      <c r="F149" s="380" t="s">
        <v>106</v>
      </c>
      <c r="G149" s="500">
        <v>103.79320901999999</v>
      </c>
      <c r="H149" s="495">
        <v>103.79320901999999</v>
      </c>
      <c r="I149" s="354">
        <f t="shared" si="5"/>
        <v>0</v>
      </c>
      <c r="J149" s="34"/>
    </row>
    <row r="150" spans="1:10" ht="14.5" x14ac:dyDescent="0.35">
      <c r="A150" s="363" t="s">
        <v>155</v>
      </c>
      <c r="B150" s="494">
        <v>3.281887E-2</v>
      </c>
      <c r="C150" s="495">
        <v>3.281887E-2</v>
      </c>
      <c r="D150" s="354">
        <f t="shared" si="4"/>
        <v>0</v>
      </c>
      <c r="E150" s="395"/>
      <c r="F150" s="380" t="s">
        <v>107</v>
      </c>
      <c r="G150" s="500">
        <v>0.66952533999999997</v>
      </c>
      <c r="H150" s="495">
        <v>0.66952534000000019</v>
      </c>
      <c r="I150" s="354">
        <f t="shared" si="5"/>
        <v>0</v>
      </c>
      <c r="J150" s="34"/>
    </row>
    <row r="151" spans="1:10" ht="14.5" x14ac:dyDescent="0.35">
      <c r="A151" s="363" t="s">
        <v>156</v>
      </c>
      <c r="B151" s="494">
        <v>0.73669229000000003</v>
      </c>
      <c r="C151" s="495">
        <v>0.73669228999999992</v>
      </c>
      <c r="D151" s="354">
        <f t="shared" si="4"/>
        <v>0</v>
      </c>
      <c r="E151" s="395"/>
      <c r="F151" s="380" t="s">
        <v>108</v>
      </c>
      <c r="G151" s="500">
        <v>0.41652018000000002</v>
      </c>
      <c r="H151" s="495">
        <v>0.41652017999999996</v>
      </c>
      <c r="I151" s="354">
        <f t="shared" si="5"/>
        <v>0</v>
      </c>
      <c r="J151" s="34"/>
    </row>
    <row r="152" spans="1:10" ht="14.5" x14ac:dyDescent="0.35">
      <c r="A152" s="363" t="s">
        <v>157</v>
      </c>
      <c r="B152" s="494">
        <v>2.4174263700000003</v>
      </c>
      <c r="C152" s="495">
        <v>2.4174263699999998</v>
      </c>
      <c r="D152" s="354">
        <f t="shared" si="4"/>
        <v>0</v>
      </c>
      <c r="E152" s="395"/>
      <c r="F152" s="380" t="s">
        <v>109</v>
      </c>
      <c r="G152" s="500">
        <v>4.7815633899999996</v>
      </c>
      <c r="H152" s="495">
        <v>4.7815633900000014</v>
      </c>
      <c r="I152" s="354">
        <f t="shared" si="5"/>
        <v>0</v>
      </c>
      <c r="J152" s="34"/>
    </row>
    <row r="153" spans="1:10" ht="14.5" x14ac:dyDescent="0.35">
      <c r="A153" s="363" t="s">
        <v>158</v>
      </c>
      <c r="B153" s="494">
        <v>0.96599468000000011</v>
      </c>
      <c r="C153" s="495">
        <v>0.96599467999999988</v>
      </c>
      <c r="D153" s="354">
        <f t="shared" si="4"/>
        <v>0</v>
      </c>
      <c r="E153" s="395"/>
      <c r="F153" s="380" t="s">
        <v>110</v>
      </c>
      <c r="G153" s="500">
        <v>2.9066065600000002</v>
      </c>
      <c r="H153" s="495">
        <v>2.9066065599999988</v>
      </c>
      <c r="I153" s="354">
        <f t="shared" si="5"/>
        <v>0</v>
      </c>
      <c r="J153" s="34"/>
    </row>
    <row r="154" spans="1:10" ht="14.5" x14ac:dyDescent="0.35">
      <c r="A154" s="363" t="s">
        <v>159</v>
      </c>
      <c r="B154" s="494">
        <v>1.83704884</v>
      </c>
      <c r="C154" s="495">
        <v>1.83704884</v>
      </c>
      <c r="D154" s="354">
        <f t="shared" si="4"/>
        <v>0</v>
      </c>
      <c r="E154" s="395"/>
      <c r="F154" s="380" t="s">
        <v>349</v>
      </c>
      <c r="G154" s="500">
        <v>1.3105569799999999</v>
      </c>
      <c r="H154" s="495">
        <v>1.3105569800000001</v>
      </c>
      <c r="I154" s="354">
        <f t="shared" si="5"/>
        <v>0</v>
      </c>
      <c r="J154" s="34"/>
    </row>
    <row r="155" spans="1:10" ht="14.5" x14ac:dyDescent="0.35">
      <c r="A155" s="363" t="s">
        <v>160</v>
      </c>
      <c r="B155" s="494">
        <v>0.36554621999999998</v>
      </c>
      <c r="C155" s="495">
        <v>0.36554622000000003</v>
      </c>
      <c r="D155" s="354">
        <f t="shared" si="4"/>
        <v>0</v>
      </c>
      <c r="E155" s="395"/>
      <c r="F155" s="380" t="s">
        <v>111</v>
      </c>
      <c r="G155" s="500">
        <v>2.4793755800000001</v>
      </c>
      <c r="H155" s="495">
        <v>2.479375580000001</v>
      </c>
      <c r="I155" s="354">
        <f t="shared" si="5"/>
        <v>0</v>
      </c>
      <c r="J155" s="34"/>
    </row>
    <row r="156" spans="1:10" ht="14.5" x14ac:dyDescent="0.35">
      <c r="A156" s="363" t="s">
        <v>161</v>
      </c>
      <c r="B156" s="494">
        <v>0.34651571000000003</v>
      </c>
      <c r="C156" s="495">
        <v>0.34651571000000003</v>
      </c>
      <c r="D156" s="354">
        <f t="shared" si="4"/>
        <v>0</v>
      </c>
      <c r="E156" s="395"/>
      <c r="F156" s="380" t="s">
        <v>112</v>
      </c>
      <c r="G156" s="500">
        <v>25.108415179999998</v>
      </c>
      <c r="H156" s="495">
        <v>25.108415180000005</v>
      </c>
      <c r="I156" s="354">
        <f t="shared" si="5"/>
        <v>0</v>
      </c>
      <c r="J156" s="34"/>
    </row>
    <row r="157" spans="1:10" ht="14.5" x14ac:dyDescent="0.35">
      <c r="A157" s="363" t="s">
        <v>162</v>
      </c>
      <c r="B157" s="494">
        <v>15.02640632</v>
      </c>
      <c r="C157" s="495">
        <v>15.02640632</v>
      </c>
      <c r="D157" s="354">
        <f t="shared" si="4"/>
        <v>0</v>
      </c>
      <c r="E157" s="395"/>
      <c r="F157" s="380" t="s">
        <v>113</v>
      </c>
      <c r="G157" s="500">
        <v>53.75753314</v>
      </c>
      <c r="H157" s="495">
        <v>53.757533139999978</v>
      </c>
      <c r="I157" s="354">
        <f t="shared" si="5"/>
        <v>0</v>
      </c>
      <c r="J157" s="34"/>
    </row>
    <row r="158" spans="1:10" ht="14.5" x14ac:dyDescent="0.35">
      <c r="A158" s="363" t="s">
        <v>163</v>
      </c>
      <c r="B158" s="494">
        <v>0.99294936000000011</v>
      </c>
      <c r="C158" s="495">
        <v>0.99294936</v>
      </c>
      <c r="D158" s="354">
        <f t="shared" si="4"/>
        <v>0</v>
      </c>
      <c r="E158" s="395"/>
      <c r="F158" s="380" t="s">
        <v>114</v>
      </c>
      <c r="G158" s="500">
        <v>6.0114532199999999</v>
      </c>
      <c r="H158" s="495">
        <v>6.0114532200000008</v>
      </c>
      <c r="I158" s="354">
        <f t="shared" si="5"/>
        <v>0</v>
      </c>
      <c r="J158" s="34"/>
    </row>
    <row r="159" spans="1:10" ht="14.5" x14ac:dyDescent="0.35">
      <c r="A159" s="363" t="s">
        <v>164</v>
      </c>
      <c r="B159" s="494">
        <v>0.21327234</v>
      </c>
      <c r="C159" s="495">
        <v>0.21327234</v>
      </c>
      <c r="D159" s="354">
        <f t="shared" si="4"/>
        <v>0</v>
      </c>
      <c r="E159" s="395"/>
      <c r="F159" s="380" t="s">
        <v>115</v>
      </c>
      <c r="G159" s="500">
        <v>13.47703578</v>
      </c>
      <c r="H159" s="495">
        <v>13.477035780000003</v>
      </c>
      <c r="I159" s="354">
        <f t="shared" si="5"/>
        <v>0</v>
      </c>
      <c r="J159" s="34"/>
    </row>
    <row r="160" spans="1:10" ht="14.5" x14ac:dyDescent="0.35">
      <c r="A160" s="363" t="s">
        <v>165</v>
      </c>
      <c r="B160" s="494">
        <v>5.1801730000000004E-2</v>
      </c>
      <c r="C160" s="495">
        <v>5.1801730000000004E-2</v>
      </c>
      <c r="D160" s="354">
        <f t="shared" si="4"/>
        <v>0</v>
      </c>
      <c r="E160" s="395"/>
      <c r="F160" s="380" t="s">
        <v>116</v>
      </c>
      <c r="G160" s="500">
        <v>26.455832860000001</v>
      </c>
      <c r="H160" s="495">
        <v>26.455832860000008</v>
      </c>
      <c r="I160" s="354">
        <f t="shared" si="5"/>
        <v>0</v>
      </c>
      <c r="J160" s="34"/>
    </row>
    <row r="161" spans="1:10" ht="14.5" x14ac:dyDescent="0.35">
      <c r="A161" s="363" t="s">
        <v>166</v>
      </c>
      <c r="B161" s="494">
        <v>1.0025527299999999</v>
      </c>
      <c r="C161" s="495">
        <v>1.0025527299999999</v>
      </c>
      <c r="D161" s="354">
        <f t="shared" si="4"/>
        <v>0</v>
      </c>
      <c r="E161" s="395"/>
      <c r="F161" s="380" t="s">
        <v>117</v>
      </c>
      <c r="G161" s="500">
        <v>19.76172051</v>
      </c>
      <c r="H161" s="495">
        <v>19.76172051</v>
      </c>
      <c r="I161" s="354">
        <f t="shared" si="5"/>
        <v>0</v>
      </c>
      <c r="J161" s="34"/>
    </row>
    <row r="162" spans="1:10" ht="14.5" x14ac:dyDescent="0.35">
      <c r="A162" s="363" t="s">
        <v>167</v>
      </c>
      <c r="B162" s="494">
        <v>0.35853753999999999</v>
      </c>
      <c r="C162" s="495">
        <v>0.35853754000000004</v>
      </c>
      <c r="D162" s="354">
        <f t="shared" si="4"/>
        <v>0</v>
      </c>
      <c r="E162" s="395"/>
      <c r="F162" s="380" t="s">
        <v>121</v>
      </c>
      <c r="G162" s="500">
        <v>136.08838849</v>
      </c>
      <c r="H162" s="495">
        <v>136.08838849</v>
      </c>
      <c r="I162" s="354">
        <f t="shared" si="5"/>
        <v>0</v>
      </c>
      <c r="J162" s="34"/>
    </row>
    <row r="163" spans="1:10" ht="14.5" x14ac:dyDescent="0.35">
      <c r="A163" s="363" t="s">
        <v>168</v>
      </c>
      <c r="B163" s="494">
        <v>3.1644728500000001</v>
      </c>
      <c r="C163" s="495">
        <v>3.1644728500000001</v>
      </c>
      <c r="D163" s="354">
        <f t="shared" si="4"/>
        <v>0</v>
      </c>
      <c r="E163" s="395"/>
      <c r="F163" s="380" t="s">
        <v>353</v>
      </c>
      <c r="G163" s="500">
        <v>5.36909422</v>
      </c>
      <c r="H163" s="495">
        <v>5.36909422</v>
      </c>
      <c r="I163" s="354">
        <f t="shared" si="5"/>
        <v>0</v>
      </c>
      <c r="J163" s="34"/>
    </row>
    <row r="164" spans="1:10" ht="14.5" x14ac:dyDescent="0.35">
      <c r="A164" s="363" t="s">
        <v>169</v>
      </c>
      <c r="B164" s="494">
        <v>3.5732019999999996E-2</v>
      </c>
      <c r="C164" s="495">
        <v>3.5732020000000003E-2</v>
      </c>
      <c r="D164" s="354">
        <f t="shared" si="4"/>
        <v>0</v>
      </c>
      <c r="E164" s="395"/>
      <c r="F164" s="380" t="s">
        <v>122</v>
      </c>
      <c r="G164" s="500">
        <v>0.29510948999999997</v>
      </c>
      <c r="H164" s="495">
        <v>0.29510948999999997</v>
      </c>
      <c r="I164" s="354">
        <f t="shared" si="5"/>
        <v>0</v>
      </c>
      <c r="J164" s="34"/>
    </row>
    <row r="165" spans="1:10" ht="14.5" x14ac:dyDescent="0.35">
      <c r="A165" s="363" t="s">
        <v>170</v>
      </c>
      <c r="B165" s="494">
        <v>1.01E-3</v>
      </c>
      <c r="C165" s="495">
        <v>1.01E-3</v>
      </c>
      <c r="D165" s="354">
        <f t="shared" si="4"/>
        <v>0</v>
      </c>
      <c r="E165" s="395"/>
      <c r="F165" s="380" t="s">
        <v>123</v>
      </c>
      <c r="G165" s="500">
        <v>13.624079550000001</v>
      </c>
      <c r="H165" s="495">
        <v>13.624079549999999</v>
      </c>
      <c r="I165" s="354">
        <f t="shared" si="5"/>
        <v>0</v>
      </c>
      <c r="J165" s="34"/>
    </row>
    <row r="166" spans="1:10" ht="14.5" x14ac:dyDescent="0.35">
      <c r="A166" s="363" t="s">
        <v>171</v>
      </c>
      <c r="B166" s="494">
        <v>1.6628728400000001</v>
      </c>
      <c r="C166" s="495">
        <v>1.6628728399999999</v>
      </c>
      <c r="D166" s="354">
        <f t="shared" si="4"/>
        <v>0</v>
      </c>
      <c r="E166" s="395"/>
      <c r="F166" s="380" t="s">
        <v>124</v>
      </c>
      <c r="G166" s="500">
        <v>19.83494743</v>
      </c>
      <c r="H166" s="495">
        <v>19.83494743</v>
      </c>
      <c r="I166" s="354">
        <f t="shared" si="5"/>
        <v>0</v>
      </c>
      <c r="J166" s="34"/>
    </row>
    <row r="167" spans="1:10" ht="14.5" x14ac:dyDescent="0.35">
      <c r="A167" s="363" t="s">
        <v>172</v>
      </c>
      <c r="B167" s="494">
        <v>5.0017950300000003</v>
      </c>
      <c r="C167" s="495">
        <v>5.0017950300000003</v>
      </c>
      <c r="D167" s="354">
        <f t="shared" si="4"/>
        <v>0</v>
      </c>
      <c r="E167" s="395"/>
      <c r="F167" s="380" t="s">
        <v>380</v>
      </c>
      <c r="G167" s="500">
        <v>2.9757286700000001</v>
      </c>
      <c r="H167" s="495">
        <v>2.9757286700000001</v>
      </c>
      <c r="I167" s="354">
        <f t="shared" si="5"/>
        <v>0</v>
      </c>
      <c r="J167" s="34"/>
    </row>
    <row r="168" spans="1:10" ht="14.5" x14ac:dyDescent="0.35">
      <c r="A168" s="363" t="s">
        <v>173</v>
      </c>
      <c r="B168" s="494">
        <v>2.54216372</v>
      </c>
      <c r="C168" s="495">
        <v>2.5421637199999991</v>
      </c>
      <c r="D168" s="354">
        <f t="shared" si="4"/>
        <v>0</v>
      </c>
      <c r="E168" s="395"/>
      <c r="F168" s="380" t="s">
        <v>125</v>
      </c>
      <c r="G168" s="500">
        <v>63.23822122</v>
      </c>
      <c r="H168" s="495">
        <v>63.238221220000007</v>
      </c>
      <c r="I168" s="354">
        <f t="shared" si="5"/>
        <v>0</v>
      </c>
      <c r="J168" s="34"/>
    </row>
    <row r="169" spans="1:10" ht="14.5" x14ac:dyDescent="0.35">
      <c r="A169" s="363" t="s">
        <v>174</v>
      </c>
      <c r="B169" s="494">
        <v>1.6587730900000002</v>
      </c>
      <c r="C169" s="495">
        <v>1.65877309</v>
      </c>
      <c r="D169" s="354">
        <f t="shared" si="4"/>
        <v>0</v>
      </c>
      <c r="E169" s="395"/>
      <c r="F169" s="380" t="s">
        <v>365</v>
      </c>
      <c r="G169" s="500">
        <v>6.5754911799999993</v>
      </c>
      <c r="H169" s="495">
        <v>6.5754911799999993</v>
      </c>
      <c r="I169" s="354">
        <f t="shared" si="5"/>
        <v>0</v>
      </c>
      <c r="J169" s="34"/>
    </row>
    <row r="170" spans="1:10" ht="14.5" x14ac:dyDescent="0.35">
      <c r="A170" s="363" t="s">
        <v>175</v>
      </c>
      <c r="B170" s="494">
        <v>0.71336192000000009</v>
      </c>
      <c r="C170" s="495">
        <v>0.71336191999999998</v>
      </c>
      <c r="D170" s="354">
        <f t="shared" si="4"/>
        <v>0</v>
      </c>
      <c r="E170" s="395"/>
      <c r="F170" s="380" t="s">
        <v>126</v>
      </c>
      <c r="G170" s="500">
        <v>10.02472831</v>
      </c>
      <c r="H170" s="495">
        <v>10.024728309999999</v>
      </c>
      <c r="I170" s="354">
        <f t="shared" si="5"/>
        <v>0</v>
      </c>
      <c r="J170" s="34"/>
    </row>
    <row r="171" spans="1:10" ht="14.5" x14ac:dyDescent="0.35">
      <c r="A171" s="363" t="s">
        <v>176</v>
      </c>
      <c r="B171" s="494">
        <v>2.8588307000000004</v>
      </c>
      <c r="C171" s="495">
        <v>2.8588307000000004</v>
      </c>
      <c r="D171" s="354">
        <f t="shared" si="4"/>
        <v>0</v>
      </c>
      <c r="E171" s="395"/>
      <c r="F171" s="380" t="s">
        <v>127</v>
      </c>
      <c r="G171" s="500">
        <v>44.386865579999998</v>
      </c>
      <c r="H171" s="495">
        <v>44.386865580000013</v>
      </c>
      <c r="I171" s="354">
        <f t="shared" si="5"/>
        <v>0</v>
      </c>
      <c r="J171" s="34"/>
    </row>
    <row r="172" spans="1:10" ht="14.5" x14ac:dyDescent="0.35">
      <c r="A172" s="363" t="s">
        <v>177</v>
      </c>
      <c r="B172" s="494">
        <v>5.9612998700000004</v>
      </c>
      <c r="C172" s="495">
        <v>5.9612998699999995</v>
      </c>
      <c r="D172" s="354">
        <f t="shared" si="4"/>
        <v>0</v>
      </c>
      <c r="E172" s="395"/>
      <c r="F172" s="380" t="s">
        <v>650</v>
      </c>
      <c r="G172" s="500">
        <v>9.7819429000000007</v>
      </c>
      <c r="H172" s="495">
        <v>9.7819429000000007</v>
      </c>
      <c r="I172" s="354">
        <f t="shared" si="5"/>
        <v>0</v>
      </c>
      <c r="J172" s="34"/>
    </row>
    <row r="173" spans="1:10" ht="14.5" x14ac:dyDescent="0.35">
      <c r="A173" s="363" t="s">
        <v>178</v>
      </c>
      <c r="B173" s="494">
        <v>5.0091219499999999</v>
      </c>
      <c r="C173" s="495">
        <v>5.0091219499999973</v>
      </c>
      <c r="D173" s="354">
        <f t="shared" si="4"/>
        <v>0</v>
      </c>
      <c r="E173" s="395"/>
      <c r="F173" s="380" t="s">
        <v>128</v>
      </c>
      <c r="G173" s="500">
        <v>2.3812E-4</v>
      </c>
      <c r="H173" s="495">
        <v>2.3811999999999998E-4</v>
      </c>
      <c r="I173" s="354">
        <f t="shared" si="5"/>
        <v>0</v>
      </c>
      <c r="J173" s="34"/>
    </row>
    <row r="174" spans="1:10" ht="14.5" x14ac:dyDescent="0.35">
      <c r="A174" s="363" t="s">
        <v>355</v>
      </c>
      <c r="B174" s="494">
        <v>0.1150938</v>
      </c>
      <c r="C174" s="495">
        <v>0.1150938</v>
      </c>
      <c r="D174" s="354">
        <f t="shared" si="4"/>
        <v>0</v>
      </c>
      <c r="E174" s="395"/>
      <c r="F174" s="380" t="s">
        <v>129</v>
      </c>
      <c r="G174" s="500">
        <v>6.42497659</v>
      </c>
      <c r="H174" s="495">
        <v>6.4249765900000009</v>
      </c>
      <c r="I174" s="354">
        <f t="shared" si="5"/>
        <v>0</v>
      </c>
      <c r="J174" s="34"/>
    </row>
    <row r="175" spans="1:10" ht="14.5" x14ac:dyDescent="0.35">
      <c r="A175" s="363" t="s">
        <v>179</v>
      </c>
      <c r="B175" s="494">
        <v>83.896190439999998</v>
      </c>
      <c r="C175" s="495">
        <v>83.896190440000012</v>
      </c>
      <c r="D175" s="354">
        <f t="shared" si="4"/>
        <v>0</v>
      </c>
      <c r="E175" s="395"/>
      <c r="F175" s="380" t="s">
        <v>367</v>
      </c>
      <c r="G175" s="500">
        <v>9.3436999999999999E-3</v>
      </c>
      <c r="H175" s="495">
        <v>9.3436999999999999E-3</v>
      </c>
      <c r="I175" s="354">
        <f t="shared" si="5"/>
        <v>0</v>
      </c>
      <c r="J175" s="34"/>
    </row>
    <row r="176" spans="1:10" ht="14.5" x14ac:dyDescent="0.35">
      <c r="A176" s="363" t="s">
        <v>180</v>
      </c>
      <c r="B176" s="494">
        <v>2.0794581499999998</v>
      </c>
      <c r="C176" s="495">
        <v>2.0794581499999998</v>
      </c>
      <c r="D176" s="354">
        <f t="shared" si="4"/>
        <v>0</v>
      </c>
      <c r="E176" s="395"/>
      <c r="F176" s="380" t="s">
        <v>130</v>
      </c>
      <c r="G176" s="500">
        <v>1.1363950199999999</v>
      </c>
      <c r="H176" s="495">
        <v>1.1363950199999999</v>
      </c>
      <c r="I176" s="354">
        <f t="shared" si="5"/>
        <v>0</v>
      </c>
      <c r="J176" s="34"/>
    </row>
    <row r="177" spans="1:10" ht="14.5" x14ac:dyDescent="0.35">
      <c r="A177" s="363" t="s">
        <v>181</v>
      </c>
      <c r="B177" s="494">
        <v>0.51908027000000001</v>
      </c>
      <c r="C177" s="495">
        <v>0.51908027000000001</v>
      </c>
      <c r="D177" s="354">
        <f t="shared" si="4"/>
        <v>0</v>
      </c>
      <c r="E177" s="395"/>
      <c r="F177" s="380" t="s">
        <v>131</v>
      </c>
      <c r="G177" s="500">
        <v>36.946622900000001</v>
      </c>
      <c r="H177" s="495">
        <v>36.946622899999994</v>
      </c>
      <c r="I177" s="354">
        <f t="shared" si="5"/>
        <v>0</v>
      </c>
      <c r="J177" s="34"/>
    </row>
    <row r="178" spans="1:10" ht="14.5" x14ac:dyDescent="0.35">
      <c r="A178" s="363" t="s">
        <v>182</v>
      </c>
      <c r="B178" s="494">
        <v>3.0273174799999998</v>
      </c>
      <c r="C178" s="495">
        <v>3.0273174799999998</v>
      </c>
      <c r="D178" s="354">
        <f t="shared" si="4"/>
        <v>0</v>
      </c>
      <c r="E178" s="395"/>
      <c r="F178" s="380" t="s">
        <v>132</v>
      </c>
      <c r="G178" s="500">
        <v>28.93782105</v>
      </c>
      <c r="H178" s="495">
        <v>28.93782105</v>
      </c>
      <c r="I178" s="354">
        <f t="shared" si="5"/>
        <v>0</v>
      </c>
      <c r="J178" s="34"/>
    </row>
    <row r="179" spans="1:10" ht="14.5" x14ac:dyDescent="0.35">
      <c r="A179" s="363" t="s">
        <v>184</v>
      </c>
      <c r="B179" s="494">
        <v>35.289665090000007</v>
      </c>
      <c r="C179" s="495">
        <v>35.28966509</v>
      </c>
      <c r="D179" s="354">
        <f t="shared" si="4"/>
        <v>0</v>
      </c>
      <c r="E179" s="395"/>
      <c r="F179" s="380" t="s">
        <v>133</v>
      </c>
      <c r="G179" s="500">
        <v>22.761417719999997</v>
      </c>
      <c r="H179" s="495">
        <v>22.761417719999994</v>
      </c>
      <c r="I179" s="354">
        <f t="shared" si="5"/>
        <v>0</v>
      </c>
      <c r="J179" s="34"/>
    </row>
    <row r="180" spans="1:10" ht="14.5" x14ac:dyDescent="0.35">
      <c r="A180" s="363" t="s">
        <v>185</v>
      </c>
      <c r="B180" s="494">
        <v>0.48399779999999998</v>
      </c>
      <c r="C180" s="495">
        <v>0.48399780000000003</v>
      </c>
      <c r="D180" s="354">
        <f t="shared" si="4"/>
        <v>0</v>
      </c>
      <c r="E180" s="395"/>
      <c r="F180" s="380" t="s">
        <v>134</v>
      </c>
      <c r="G180" s="500">
        <v>25.163771100000002</v>
      </c>
      <c r="H180" s="495">
        <v>25.163771099999988</v>
      </c>
      <c r="I180" s="354">
        <f t="shared" si="5"/>
        <v>0</v>
      </c>
      <c r="J180" s="34"/>
    </row>
    <row r="181" spans="1:10" ht="14.5" x14ac:dyDescent="0.35">
      <c r="A181" s="363" t="s">
        <v>187</v>
      </c>
      <c r="B181" s="494">
        <v>1.7591799999999998E-2</v>
      </c>
      <c r="C181" s="495">
        <v>1.7591799999999998E-2</v>
      </c>
      <c r="D181" s="354">
        <f t="shared" si="4"/>
        <v>0</v>
      </c>
      <c r="E181" s="395"/>
      <c r="F181" s="380" t="s">
        <v>135</v>
      </c>
      <c r="G181" s="500">
        <v>36.199490159999996</v>
      </c>
      <c r="H181" s="495">
        <v>36.199490159999954</v>
      </c>
      <c r="I181" s="354">
        <f t="shared" si="5"/>
        <v>0</v>
      </c>
      <c r="J181" s="34"/>
    </row>
    <row r="182" spans="1:10" ht="14.5" x14ac:dyDescent="0.35">
      <c r="A182" s="363" t="s">
        <v>188</v>
      </c>
      <c r="B182" s="494">
        <v>0.71797701999999997</v>
      </c>
      <c r="C182" s="495">
        <v>0.71797701999999997</v>
      </c>
      <c r="D182" s="354">
        <f t="shared" si="4"/>
        <v>0</v>
      </c>
      <c r="E182" s="395"/>
      <c r="F182" s="380" t="s">
        <v>136</v>
      </c>
      <c r="G182" s="500">
        <v>7.0611316300000002</v>
      </c>
      <c r="H182" s="495">
        <v>7.0611316300000011</v>
      </c>
      <c r="I182" s="354">
        <f t="shared" si="5"/>
        <v>0</v>
      </c>
      <c r="J182" s="34"/>
    </row>
    <row r="183" spans="1:10" ht="14.5" x14ac:dyDescent="0.35">
      <c r="A183" s="363" t="s">
        <v>189</v>
      </c>
      <c r="B183" s="494">
        <v>6.6821383100000009</v>
      </c>
      <c r="C183" s="495">
        <v>6.6821383099999965</v>
      </c>
      <c r="D183" s="354">
        <f t="shared" si="4"/>
        <v>0</v>
      </c>
      <c r="E183" s="395"/>
      <c r="F183" s="380" t="s">
        <v>137</v>
      </c>
      <c r="G183" s="500">
        <v>19.456405950000001</v>
      </c>
      <c r="H183" s="495">
        <v>19.456405950000004</v>
      </c>
      <c r="I183" s="354">
        <f t="shared" si="5"/>
        <v>0</v>
      </c>
      <c r="J183" s="34"/>
    </row>
    <row r="184" spans="1:10" ht="14.5" x14ac:dyDescent="0.35">
      <c r="A184" s="363" t="s">
        <v>190</v>
      </c>
      <c r="B184" s="494">
        <v>0.27720423999999999</v>
      </c>
      <c r="C184" s="495">
        <v>0.27720424000000005</v>
      </c>
      <c r="D184" s="354">
        <f t="shared" si="4"/>
        <v>0</v>
      </c>
      <c r="E184" s="395"/>
      <c r="F184" s="380" t="s">
        <v>138</v>
      </c>
      <c r="G184" s="500">
        <v>141.37251878999999</v>
      </c>
      <c r="H184" s="495">
        <v>141.3725187900001</v>
      </c>
      <c r="I184" s="354">
        <f t="shared" si="5"/>
        <v>0</v>
      </c>
      <c r="J184" s="34"/>
    </row>
    <row r="185" spans="1:10" ht="14.5" x14ac:dyDescent="0.35">
      <c r="A185" s="363" t="s">
        <v>191</v>
      </c>
      <c r="B185" s="494">
        <v>5.7508879999999991E-2</v>
      </c>
      <c r="C185" s="495">
        <v>5.7508879999999991E-2</v>
      </c>
      <c r="D185" s="354">
        <f t="shared" si="4"/>
        <v>0</v>
      </c>
      <c r="E185" s="395"/>
      <c r="F185" s="380" t="s">
        <v>139</v>
      </c>
      <c r="G185" s="500">
        <v>47.647854200000005</v>
      </c>
      <c r="H185" s="495">
        <v>47.647854199999998</v>
      </c>
      <c r="I185" s="354">
        <f t="shared" si="5"/>
        <v>0</v>
      </c>
      <c r="J185" s="34"/>
    </row>
    <row r="186" spans="1:10" ht="14.5" x14ac:dyDescent="0.35">
      <c r="A186" s="363" t="s">
        <v>192</v>
      </c>
      <c r="B186" s="494">
        <v>2.4115060000000001E-2</v>
      </c>
      <c r="C186" s="495">
        <v>2.4115060000000001E-2</v>
      </c>
      <c r="D186" s="354">
        <f t="shared" si="4"/>
        <v>0</v>
      </c>
      <c r="E186" s="395"/>
      <c r="F186" s="380" t="s">
        <v>368</v>
      </c>
      <c r="G186" s="500">
        <v>1.9329486200000001</v>
      </c>
      <c r="H186" s="495">
        <v>1.9329486200000001</v>
      </c>
      <c r="I186" s="354">
        <f t="shared" si="5"/>
        <v>0</v>
      </c>
      <c r="J186" s="34"/>
    </row>
    <row r="187" spans="1:10" ht="14.5" x14ac:dyDescent="0.35">
      <c r="A187" s="363" t="s">
        <v>193</v>
      </c>
      <c r="B187" s="494">
        <v>0.40354593999999999</v>
      </c>
      <c r="C187" s="495">
        <v>0.40354593999999999</v>
      </c>
      <c r="D187" s="354">
        <f t="shared" si="4"/>
        <v>0</v>
      </c>
      <c r="E187" s="395"/>
      <c r="F187" s="380" t="s">
        <v>141</v>
      </c>
      <c r="G187" s="500">
        <v>7.2603300000000009E-2</v>
      </c>
      <c r="H187" s="495">
        <v>7.2603299999999996E-2</v>
      </c>
      <c r="I187" s="354">
        <f t="shared" si="5"/>
        <v>0</v>
      </c>
      <c r="J187" s="34"/>
    </row>
    <row r="188" spans="1:10" ht="14.5" x14ac:dyDescent="0.35">
      <c r="A188" s="363" t="s">
        <v>194</v>
      </c>
      <c r="B188" s="494">
        <v>0.16496898000000002</v>
      </c>
      <c r="C188" s="495">
        <v>0.16496898000000002</v>
      </c>
      <c r="D188" s="354">
        <f t="shared" si="4"/>
        <v>0</v>
      </c>
      <c r="E188" s="395"/>
      <c r="F188" s="380" t="s">
        <v>142</v>
      </c>
      <c r="G188" s="500">
        <v>18.911422079999998</v>
      </c>
      <c r="H188" s="495">
        <v>18.911422080000008</v>
      </c>
      <c r="I188" s="354">
        <f t="shared" si="5"/>
        <v>0</v>
      </c>
      <c r="J188" s="34"/>
    </row>
    <row r="189" spans="1:10" ht="14.5" x14ac:dyDescent="0.35">
      <c r="A189" s="363" t="s">
        <v>195</v>
      </c>
      <c r="B189" s="494">
        <v>0.48469320999999999</v>
      </c>
      <c r="C189" s="495">
        <v>0.48469320999999987</v>
      </c>
      <c r="D189" s="354">
        <f t="shared" si="4"/>
        <v>0</v>
      </c>
      <c r="E189" s="395"/>
      <c r="F189" s="380" t="s">
        <v>143</v>
      </c>
      <c r="G189" s="500">
        <v>10.32463946</v>
      </c>
      <c r="H189" s="495">
        <v>10.324639460000002</v>
      </c>
      <c r="I189" s="354">
        <f t="shared" si="5"/>
        <v>0</v>
      </c>
      <c r="J189" s="34"/>
    </row>
    <row r="190" spans="1:10" ht="14.5" x14ac:dyDescent="0.35">
      <c r="A190" s="363" t="s">
        <v>196</v>
      </c>
      <c r="B190" s="494">
        <v>1.02612725</v>
      </c>
      <c r="C190" s="495">
        <v>1.0261272500000003</v>
      </c>
      <c r="D190" s="354">
        <f t="shared" si="4"/>
        <v>0</v>
      </c>
      <c r="E190" s="395"/>
      <c r="F190" s="380" t="s">
        <v>144</v>
      </c>
      <c r="G190" s="500">
        <v>11.292402170000001</v>
      </c>
      <c r="H190" s="495">
        <v>11.292402170000001</v>
      </c>
      <c r="I190" s="354">
        <f t="shared" si="5"/>
        <v>0</v>
      </c>
      <c r="J190" s="34"/>
    </row>
    <row r="191" spans="1:10" ht="14.5" x14ac:dyDescent="0.35">
      <c r="A191" s="363" t="s">
        <v>197</v>
      </c>
      <c r="B191" s="494">
        <v>6.4157720000000001E-2</v>
      </c>
      <c r="C191" s="495">
        <v>6.4157720000000001E-2</v>
      </c>
      <c r="D191" s="354">
        <f t="shared" si="4"/>
        <v>0</v>
      </c>
      <c r="E191" s="395"/>
      <c r="F191" s="380" t="s">
        <v>145</v>
      </c>
      <c r="G191" s="500">
        <v>75.735360349999993</v>
      </c>
      <c r="H191" s="495">
        <v>75.735360349999979</v>
      </c>
      <c r="I191" s="354">
        <f t="shared" si="5"/>
        <v>0</v>
      </c>
      <c r="J191" s="34"/>
    </row>
    <row r="192" spans="1:10" ht="14.5" x14ac:dyDescent="0.35">
      <c r="A192" s="363" t="s">
        <v>198</v>
      </c>
      <c r="B192" s="494">
        <v>1.1482506800000001</v>
      </c>
      <c r="C192" s="495">
        <v>1.1482506800000001</v>
      </c>
      <c r="D192" s="354">
        <f t="shared" si="4"/>
        <v>0</v>
      </c>
      <c r="E192" s="395"/>
      <c r="F192" s="380" t="s">
        <v>146</v>
      </c>
      <c r="G192" s="500">
        <v>285.91241481999998</v>
      </c>
      <c r="H192" s="495">
        <v>285.91241482000009</v>
      </c>
      <c r="I192" s="354">
        <f t="shared" si="5"/>
        <v>0</v>
      </c>
      <c r="J192" s="34"/>
    </row>
    <row r="193" spans="1:10" ht="14.5" x14ac:dyDescent="0.35">
      <c r="A193" s="363" t="s">
        <v>199</v>
      </c>
      <c r="B193" s="494">
        <v>5.1777110000000001E-2</v>
      </c>
      <c r="C193" s="495">
        <v>5.1777110000000001E-2</v>
      </c>
      <c r="D193" s="354">
        <f t="shared" si="4"/>
        <v>0</v>
      </c>
      <c r="E193" s="395"/>
      <c r="F193" s="380" t="s">
        <v>147</v>
      </c>
      <c r="G193" s="500">
        <v>4.1292227800000001</v>
      </c>
      <c r="H193" s="495">
        <v>4.1292227800000001</v>
      </c>
      <c r="I193" s="354">
        <f t="shared" si="5"/>
        <v>0</v>
      </c>
      <c r="J193" s="34"/>
    </row>
    <row r="194" spans="1:10" ht="14.5" x14ac:dyDescent="0.35">
      <c r="A194" s="363" t="s">
        <v>200</v>
      </c>
      <c r="B194" s="494">
        <v>2.8331112599999999</v>
      </c>
      <c r="C194" s="495">
        <v>2.8331112599999999</v>
      </c>
      <c r="D194" s="354">
        <f t="shared" si="4"/>
        <v>0</v>
      </c>
      <c r="E194" s="395"/>
      <c r="F194" s="380" t="s">
        <v>148</v>
      </c>
      <c r="G194" s="500">
        <v>1.08658962</v>
      </c>
      <c r="H194" s="495">
        <v>1.08658962</v>
      </c>
      <c r="I194" s="354">
        <f t="shared" si="5"/>
        <v>0</v>
      </c>
      <c r="J194" s="34"/>
    </row>
    <row r="195" spans="1:10" ht="14.5" x14ac:dyDescent="0.35">
      <c r="A195" s="363" t="s">
        <v>201</v>
      </c>
      <c r="B195" s="494">
        <v>0.17182500000000001</v>
      </c>
      <c r="C195" s="495">
        <v>0.17182499999999998</v>
      </c>
      <c r="D195" s="354">
        <f t="shared" si="4"/>
        <v>0</v>
      </c>
      <c r="E195" s="395"/>
      <c r="F195" s="380" t="s">
        <v>149</v>
      </c>
      <c r="G195" s="500">
        <v>5.0788683800000003</v>
      </c>
      <c r="H195" s="495">
        <v>5.0788683799999994</v>
      </c>
      <c r="I195" s="354">
        <f t="shared" si="5"/>
        <v>0</v>
      </c>
      <c r="J195" s="34"/>
    </row>
    <row r="196" spans="1:10" ht="14.5" x14ac:dyDescent="0.35">
      <c r="A196" s="363" t="s">
        <v>202</v>
      </c>
      <c r="B196" s="494">
        <v>6.7021948099999999</v>
      </c>
      <c r="C196" s="495">
        <v>6.7021948100000008</v>
      </c>
      <c r="D196" s="354">
        <f t="shared" si="4"/>
        <v>0</v>
      </c>
      <c r="E196" s="395"/>
      <c r="F196" s="380" t="s">
        <v>150</v>
      </c>
      <c r="G196" s="500">
        <v>11.90812502</v>
      </c>
      <c r="H196" s="495">
        <v>11.908125020000004</v>
      </c>
      <c r="I196" s="354">
        <f t="shared" si="5"/>
        <v>0</v>
      </c>
      <c r="J196" s="34"/>
    </row>
    <row r="197" spans="1:10" ht="14.5" x14ac:dyDescent="0.35">
      <c r="A197" s="363" t="s">
        <v>356</v>
      </c>
      <c r="B197" s="494">
        <v>4.7121200000000002E-3</v>
      </c>
      <c r="C197" s="495">
        <v>4.7121200000000002E-3</v>
      </c>
      <c r="D197" s="354">
        <f t="shared" si="4"/>
        <v>0</v>
      </c>
      <c r="E197" s="395"/>
      <c r="F197" s="380" t="s">
        <v>152</v>
      </c>
      <c r="G197" s="500">
        <v>1.96473667</v>
      </c>
      <c r="H197" s="495">
        <v>1.96473667</v>
      </c>
      <c r="I197" s="354">
        <f t="shared" si="5"/>
        <v>0</v>
      </c>
      <c r="J197" s="34"/>
    </row>
    <row r="198" spans="1:10" ht="14.5" x14ac:dyDescent="0.35">
      <c r="A198" s="363" t="s">
        <v>204</v>
      </c>
      <c r="B198" s="494">
        <v>0.52224828999999995</v>
      </c>
      <c r="C198" s="495">
        <v>0.52224829000000006</v>
      </c>
      <c r="D198" s="355">
        <f t="shared" si="4"/>
        <v>0</v>
      </c>
      <c r="E198" s="395"/>
      <c r="F198" s="380" t="s">
        <v>153</v>
      </c>
      <c r="G198" s="500">
        <v>0.38852853000000004</v>
      </c>
      <c r="H198" s="495">
        <v>0.38852853000000004</v>
      </c>
      <c r="I198" s="355">
        <f t="shared" si="5"/>
        <v>0</v>
      </c>
      <c r="J198" s="34"/>
    </row>
    <row r="199" spans="1:10" ht="14.5" x14ac:dyDescent="0.35">
      <c r="A199" s="363" t="s">
        <v>205</v>
      </c>
      <c r="B199" s="494">
        <v>3.31052E-3</v>
      </c>
      <c r="C199" s="495">
        <v>3.31052E-3</v>
      </c>
      <c r="D199" s="354">
        <f t="shared" si="4"/>
        <v>0</v>
      </c>
      <c r="E199" s="395"/>
      <c r="F199" s="380" t="s">
        <v>154</v>
      </c>
      <c r="G199" s="500">
        <v>0.67558837999999999</v>
      </c>
      <c r="H199" s="495">
        <v>0.67558837999999999</v>
      </c>
      <c r="I199" s="354">
        <f t="shared" si="5"/>
        <v>0</v>
      </c>
      <c r="J199" s="34"/>
    </row>
    <row r="200" spans="1:10" ht="14.5" x14ac:dyDescent="0.35">
      <c r="A200" s="363" t="s">
        <v>207</v>
      </c>
      <c r="B200" s="494">
        <v>0.43292033000000002</v>
      </c>
      <c r="C200" s="495">
        <v>0.43292033000000008</v>
      </c>
      <c r="D200" s="354">
        <f t="shared" si="4"/>
        <v>0</v>
      </c>
      <c r="E200" s="395"/>
      <c r="F200" s="380" t="s">
        <v>155</v>
      </c>
      <c r="G200" s="500">
        <v>5.4274632499999997</v>
      </c>
      <c r="H200" s="495">
        <v>5.4274632499999997</v>
      </c>
      <c r="I200" s="354">
        <f t="shared" si="5"/>
        <v>0</v>
      </c>
      <c r="J200" s="34"/>
    </row>
    <row r="201" spans="1:10" ht="14.5" x14ac:dyDescent="0.35">
      <c r="A201" s="363" t="s">
        <v>208</v>
      </c>
      <c r="B201" s="494">
        <v>19.880130949999998</v>
      </c>
      <c r="C201" s="495">
        <v>19.880130950000002</v>
      </c>
      <c r="D201" s="354">
        <f t="shared" si="4"/>
        <v>0</v>
      </c>
      <c r="E201" s="395"/>
      <c r="F201" s="380" t="s">
        <v>156</v>
      </c>
      <c r="G201" s="500">
        <v>50.223176850000002</v>
      </c>
      <c r="H201" s="495">
        <v>50.223176849999994</v>
      </c>
      <c r="I201" s="354">
        <f t="shared" si="5"/>
        <v>0</v>
      </c>
      <c r="J201" s="34"/>
    </row>
    <row r="202" spans="1:10" ht="14.5" x14ac:dyDescent="0.35">
      <c r="A202" s="363" t="s">
        <v>209</v>
      </c>
      <c r="B202" s="494">
        <v>0.15297057000000003</v>
      </c>
      <c r="C202" s="495">
        <v>0.15297057</v>
      </c>
      <c r="D202" s="354">
        <f t="shared" si="4"/>
        <v>0</v>
      </c>
      <c r="E202" s="395"/>
      <c r="F202" s="380" t="s">
        <v>158</v>
      </c>
      <c r="G202" s="500">
        <v>68.258700989999994</v>
      </c>
      <c r="H202" s="495">
        <v>68.258700989999994</v>
      </c>
      <c r="I202" s="354">
        <f t="shared" si="5"/>
        <v>0</v>
      </c>
      <c r="J202" s="34"/>
    </row>
    <row r="203" spans="1:10" ht="14.5" x14ac:dyDescent="0.35">
      <c r="A203" s="363" t="s">
        <v>210</v>
      </c>
      <c r="B203" s="494">
        <v>1.3227529999999999E-2</v>
      </c>
      <c r="C203" s="495">
        <v>1.3227530000000001E-2</v>
      </c>
      <c r="D203" s="354">
        <f t="shared" ref="D203:D212" si="6">C203-B203</f>
        <v>0</v>
      </c>
      <c r="E203" s="395"/>
      <c r="F203" s="380" t="s">
        <v>159</v>
      </c>
      <c r="G203" s="500">
        <v>59.035496000000002</v>
      </c>
      <c r="H203" s="495">
        <v>59.03549600000003</v>
      </c>
      <c r="I203" s="354">
        <f t="shared" ref="I203:I254" si="7">H203-G203</f>
        <v>0</v>
      </c>
      <c r="J203" s="34"/>
    </row>
    <row r="204" spans="1:10" ht="14.5" x14ac:dyDescent="0.35">
      <c r="A204" s="363" t="s">
        <v>211</v>
      </c>
      <c r="B204" s="494">
        <v>7.0707187000000005</v>
      </c>
      <c r="C204" s="495">
        <v>7.0707187000000005</v>
      </c>
      <c r="D204" s="354">
        <f t="shared" si="6"/>
        <v>0</v>
      </c>
      <c r="E204" s="395"/>
      <c r="F204" s="380" t="s">
        <v>160</v>
      </c>
      <c r="G204" s="500">
        <v>44.580035700000003</v>
      </c>
      <c r="H204" s="495">
        <v>44.580035699999989</v>
      </c>
      <c r="I204" s="354">
        <f t="shared" si="7"/>
        <v>0</v>
      </c>
      <c r="J204" s="34"/>
    </row>
    <row r="205" spans="1:10" ht="14.5" x14ac:dyDescent="0.35">
      <c r="A205" s="363" t="s">
        <v>212</v>
      </c>
      <c r="B205" s="494">
        <v>5.2691510000000004E-2</v>
      </c>
      <c r="C205" s="495">
        <v>5.2691510000000004E-2</v>
      </c>
      <c r="D205" s="354">
        <f t="shared" si="6"/>
        <v>0</v>
      </c>
      <c r="E205" s="395"/>
      <c r="F205" s="380" t="s">
        <v>161</v>
      </c>
      <c r="G205" s="500">
        <v>8.2190701399999995</v>
      </c>
      <c r="H205" s="495">
        <v>8.2190701399999995</v>
      </c>
      <c r="I205" s="354">
        <f t="shared" si="7"/>
        <v>0</v>
      </c>
      <c r="J205" s="34"/>
    </row>
    <row r="206" spans="1:10" ht="14.5" x14ac:dyDescent="0.35">
      <c r="A206" s="363" t="s">
        <v>213</v>
      </c>
      <c r="B206" s="494">
        <v>9.3980969999999997E-2</v>
      </c>
      <c r="C206" s="495">
        <v>9.3980969999999997E-2</v>
      </c>
      <c r="D206" s="354">
        <f t="shared" si="6"/>
        <v>0</v>
      </c>
      <c r="E206" s="395"/>
      <c r="F206" s="380" t="s">
        <v>162</v>
      </c>
      <c r="G206" s="500">
        <v>29.94595245</v>
      </c>
      <c r="H206" s="495">
        <v>29.945952449999997</v>
      </c>
      <c r="I206" s="354">
        <f t="shared" si="7"/>
        <v>0</v>
      </c>
      <c r="J206" s="34"/>
    </row>
    <row r="207" spans="1:10" ht="14.5" x14ac:dyDescent="0.35">
      <c r="A207" s="363" t="s">
        <v>214</v>
      </c>
      <c r="B207" s="494">
        <v>1.3332977099999999</v>
      </c>
      <c r="C207" s="495">
        <v>1.3332977099999996</v>
      </c>
      <c r="D207" s="354">
        <f t="shared" si="6"/>
        <v>0</v>
      </c>
      <c r="E207" s="395"/>
      <c r="F207" s="380" t="s">
        <v>163</v>
      </c>
      <c r="G207" s="500">
        <v>40.957787029999999</v>
      </c>
      <c r="H207" s="495">
        <v>40.957787029999999</v>
      </c>
      <c r="I207" s="354">
        <f t="shared" si="7"/>
        <v>0</v>
      </c>
      <c r="J207" s="34"/>
    </row>
    <row r="208" spans="1:10" ht="14.5" x14ac:dyDescent="0.35">
      <c r="A208" s="363" t="s">
        <v>215</v>
      </c>
      <c r="B208" s="494">
        <v>10.3035213</v>
      </c>
      <c r="C208" s="495">
        <v>10.303521300000002</v>
      </c>
      <c r="D208" s="354">
        <f t="shared" si="6"/>
        <v>0</v>
      </c>
      <c r="E208" s="395"/>
      <c r="F208" s="380" t="s">
        <v>167</v>
      </c>
      <c r="G208" s="500">
        <v>6.5544145199999999</v>
      </c>
      <c r="H208" s="495">
        <v>6.5544145199999999</v>
      </c>
      <c r="I208" s="354">
        <f t="shared" si="7"/>
        <v>0</v>
      </c>
      <c r="J208" s="34"/>
    </row>
    <row r="209" spans="1:10" ht="14.5" x14ac:dyDescent="0.35">
      <c r="A209" s="363" t="s">
        <v>216</v>
      </c>
      <c r="B209" s="494">
        <v>1931.1609330699998</v>
      </c>
      <c r="C209" s="495">
        <v>1931.1609330699998</v>
      </c>
      <c r="D209" s="354">
        <f t="shared" si="6"/>
        <v>0</v>
      </c>
      <c r="E209" s="395"/>
      <c r="F209" s="380" t="s">
        <v>169</v>
      </c>
      <c r="G209" s="500">
        <v>2.0033439999999998</v>
      </c>
      <c r="H209" s="495">
        <v>2.0033439999999998</v>
      </c>
      <c r="I209" s="354">
        <f t="shared" si="7"/>
        <v>0</v>
      </c>
      <c r="J209" s="34"/>
    </row>
    <row r="210" spans="1:10" ht="14.5" x14ac:dyDescent="0.35">
      <c r="A210" s="363" t="s">
        <v>52</v>
      </c>
      <c r="B210" s="494">
        <v>351.76126906000104</v>
      </c>
      <c r="C210" s="495">
        <v>351.76126906000002</v>
      </c>
      <c r="D210" s="354">
        <f t="shared" si="6"/>
        <v>-1.0231815394945443E-12</v>
      </c>
      <c r="E210" s="395"/>
      <c r="F210" s="380" t="s">
        <v>170</v>
      </c>
      <c r="G210" s="500">
        <v>1.4145664599999999</v>
      </c>
      <c r="H210" s="495">
        <v>1.4145664600000001</v>
      </c>
      <c r="I210" s="354">
        <f t="shared" si="7"/>
        <v>0</v>
      </c>
      <c r="J210" s="34"/>
    </row>
    <row r="211" spans="1:10" ht="14.5" x14ac:dyDescent="0.35">
      <c r="A211" s="363" t="s">
        <v>62</v>
      </c>
      <c r="B211" s="494">
        <v>417.70474014000098</v>
      </c>
      <c r="C211" s="495">
        <v>417.70474013999984</v>
      </c>
      <c r="D211" s="354">
        <f t="shared" si="6"/>
        <v>-1.1368683772161603E-12</v>
      </c>
      <c r="E211" s="395"/>
      <c r="F211" s="380" t="s">
        <v>171</v>
      </c>
      <c r="G211" s="500">
        <v>257.53705538999998</v>
      </c>
      <c r="H211" s="495">
        <v>257.53705539000009</v>
      </c>
      <c r="I211" s="354">
        <f t="shared" si="7"/>
        <v>0</v>
      </c>
      <c r="J211" s="34"/>
    </row>
    <row r="212" spans="1:10" ht="14.5" x14ac:dyDescent="0.35">
      <c r="A212" s="496" t="s">
        <v>138</v>
      </c>
      <c r="B212" s="497">
        <v>50.882774629999993</v>
      </c>
      <c r="C212" s="498">
        <v>50.859757630000011</v>
      </c>
      <c r="D212" s="354">
        <f t="shared" si="6"/>
        <v>-2.3016999999981635E-2</v>
      </c>
      <c r="E212" s="395"/>
      <c r="F212" s="380" t="s">
        <v>173</v>
      </c>
      <c r="G212" s="500">
        <v>62.040412029999999</v>
      </c>
      <c r="H212" s="495">
        <v>62.040412030000034</v>
      </c>
      <c r="I212" s="354">
        <f t="shared" si="7"/>
        <v>0</v>
      </c>
      <c r="J212" s="34"/>
    </row>
    <row r="213" spans="1:10" ht="14.5" x14ac:dyDescent="0.35">
      <c r="A213" s="179" t="s">
        <v>217</v>
      </c>
      <c r="B213" s="421">
        <f>SUM(B11:B212)</f>
        <v>10715.049828790003</v>
      </c>
      <c r="C213" s="421">
        <f>SUM(C11:C212)</f>
        <v>10715.369058170001</v>
      </c>
      <c r="D213" s="409">
        <f>SUM(D11:D212)</f>
        <v>0.31922937999996437</v>
      </c>
      <c r="E213" s="395"/>
      <c r="F213" s="380" t="s">
        <v>175</v>
      </c>
      <c r="G213" s="500">
        <v>9.6579679000000009</v>
      </c>
      <c r="H213" s="495">
        <v>9.6579679000000009</v>
      </c>
      <c r="I213" s="354">
        <f t="shared" si="7"/>
        <v>0</v>
      </c>
      <c r="J213" s="34"/>
    </row>
    <row r="214" spans="1:10" ht="14.5" x14ac:dyDescent="0.35">
      <c r="E214" s="395"/>
      <c r="F214" s="380" t="s">
        <v>177</v>
      </c>
      <c r="G214" s="500">
        <v>170.08458346</v>
      </c>
      <c r="H214" s="495">
        <v>170.08458345999995</v>
      </c>
      <c r="I214" s="354">
        <f t="shared" si="7"/>
        <v>0</v>
      </c>
      <c r="J214" s="34"/>
    </row>
    <row r="215" spans="1:10" ht="14.5" x14ac:dyDescent="0.35">
      <c r="E215" s="395"/>
      <c r="F215" s="380" t="s">
        <v>179</v>
      </c>
      <c r="G215" s="500">
        <v>801.62755687000003</v>
      </c>
      <c r="H215" s="495">
        <v>801.62755686999992</v>
      </c>
      <c r="I215" s="354">
        <f t="shared" si="7"/>
        <v>0</v>
      </c>
      <c r="J215" s="34"/>
    </row>
    <row r="216" spans="1:10" ht="14.5" x14ac:dyDescent="0.35">
      <c r="B216" s="43"/>
      <c r="C216" s="43"/>
      <c r="E216" s="395"/>
      <c r="F216" s="380" t="s">
        <v>381</v>
      </c>
      <c r="G216" s="500">
        <v>23.616412149999999</v>
      </c>
      <c r="H216" s="495">
        <v>23.616412150000002</v>
      </c>
      <c r="I216" s="354">
        <f t="shared" si="7"/>
        <v>0</v>
      </c>
      <c r="J216" s="34"/>
    </row>
    <row r="217" spans="1:10" ht="14.5" x14ac:dyDescent="0.35">
      <c r="E217" s="395"/>
      <c r="F217" s="380" t="s">
        <v>181</v>
      </c>
      <c r="G217" s="500">
        <v>11.738753640000001</v>
      </c>
      <c r="H217" s="495">
        <v>11.738753639999999</v>
      </c>
      <c r="I217" s="354">
        <f t="shared" si="7"/>
        <v>0</v>
      </c>
      <c r="J217" s="34"/>
    </row>
    <row r="218" spans="1:10" ht="14.5" x14ac:dyDescent="0.35">
      <c r="E218" s="395"/>
      <c r="F218" s="380" t="s">
        <v>183</v>
      </c>
      <c r="G218" s="500">
        <v>5.4907514400000004</v>
      </c>
      <c r="H218" s="495">
        <v>5.4907514399999986</v>
      </c>
      <c r="I218" s="354">
        <f t="shared" si="7"/>
        <v>0</v>
      </c>
      <c r="J218" s="34"/>
    </row>
    <row r="219" spans="1:10" ht="14.5" x14ac:dyDescent="0.35">
      <c r="E219" s="395"/>
      <c r="F219" s="380" t="s">
        <v>184</v>
      </c>
      <c r="G219" s="500">
        <v>75.27898673</v>
      </c>
      <c r="H219" s="495">
        <v>75.278986730000014</v>
      </c>
      <c r="I219" s="354">
        <f t="shared" si="7"/>
        <v>0</v>
      </c>
      <c r="J219" s="34"/>
    </row>
    <row r="220" spans="1:10" ht="14.5" x14ac:dyDescent="0.35">
      <c r="E220" s="395"/>
      <c r="F220" s="380" t="s">
        <v>186</v>
      </c>
      <c r="G220" s="500">
        <v>6.7523044900000002</v>
      </c>
      <c r="H220" s="495">
        <v>6.7523044900000002</v>
      </c>
      <c r="I220" s="355">
        <f t="shared" si="7"/>
        <v>0</v>
      </c>
      <c r="J220" s="34"/>
    </row>
    <row r="221" spans="1:10" ht="14.5" x14ac:dyDescent="0.35">
      <c r="E221" s="395"/>
      <c r="F221" s="380" t="s">
        <v>187</v>
      </c>
      <c r="G221" s="500">
        <v>3.86490512</v>
      </c>
      <c r="H221" s="495">
        <v>3.8649051199999995</v>
      </c>
      <c r="I221" s="354">
        <f t="shared" si="7"/>
        <v>0</v>
      </c>
      <c r="J221" s="34"/>
    </row>
    <row r="222" spans="1:10" ht="14.5" x14ac:dyDescent="0.35">
      <c r="E222" s="395"/>
      <c r="F222" s="380" t="s">
        <v>188</v>
      </c>
      <c r="G222" s="500">
        <v>18.256701030000002</v>
      </c>
      <c r="H222" s="495">
        <v>18.256701029999999</v>
      </c>
      <c r="I222" s="354">
        <f t="shared" si="7"/>
        <v>0</v>
      </c>
      <c r="J222" s="34"/>
    </row>
    <row r="223" spans="1:10" ht="14.5" x14ac:dyDescent="0.35">
      <c r="E223" s="395"/>
      <c r="F223" s="380" t="s">
        <v>189</v>
      </c>
      <c r="G223" s="500">
        <v>82.741450809999904</v>
      </c>
      <c r="H223" s="495">
        <v>82.741450809999975</v>
      </c>
      <c r="I223" s="354">
        <f t="shared" si="7"/>
        <v>0</v>
      </c>
      <c r="J223" s="34"/>
    </row>
    <row r="224" spans="1:10" ht="14.5" x14ac:dyDescent="0.35">
      <c r="E224" s="395"/>
      <c r="F224" s="380" t="s">
        <v>194</v>
      </c>
      <c r="G224" s="500">
        <v>19.70133629</v>
      </c>
      <c r="H224" s="495">
        <v>19.701336290000011</v>
      </c>
      <c r="I224" s="354">
        <f t="shared" si="7"/>
        <v>0</v>
      </c>
      <c r="J224" s="34"/>
    </row>
    <row r="225" spans="5:10" ht="14.5" x14ac:dyDescent="0.35">
      <c r="E225" s="395"/>
      <c r="F225" s="380" t="s">
        <v>199</v>
      </c>
      <c r="G225" s="500">
        <v>6.3010497499999998</v>
      </c>
      <c r="H225" s="495">
        <v>6.3010497499999998</v>
      </c>
      <c r="I225" s="354">
        <f t="shared" si="7"/>
        <v>0</v>
      </c>
      <c r="J225" s="34"/>
    </row>
    <row r="226" spans="5:10" ht="14.5" x14ac:dyDescent="0.35">
      <c r="E226" s="395"/>
      <c r="F226" s="380" t="s">
        <v>201</v>
      </c>
      <c r="G226" s="500">
        <v>7.3356431500000001</v>
      </c>
      <c r="H226" s="495">
        <v>7.3356431500000019</v>
      </c>
      <c r="I226" s="354">
        <f t="shared" si="7"/>
        <v>0</v>
      </c>
      <c r="J226" s="34"/>
    </row>
    <row r="227" spans="5:10" ht="14.5" x14ac:dyDescent="0.35">
      <c r="E227" s="395"/>
      <c r="F227" s="380" t="s">
        <v>202</v>
      </c>
      <c r="G227" s="500">
        <v>76.760262430000012</v>
      </c>
      <c r="H227" s="495">
        <v>76.760262430000026</v>
      </c>
      <c r="I227" s="354">
        <f t="shared" si="7"/>
        <v>0</v>
      </c>
      <c r="J227" s="34"/>
    </row>
    <row r="228" spans="5:10" ht="14.5" x14ac:dyDescent="0.35">
      <c r="E228" s="395"/>
      <c r="F228" s="380" t="s">
        <v>356</v>
      </c>
      <c r="G228" s="500">
        <v>3.0612338299999999</v>
      </c>
      <c r="H228" s="495">
        <v>3.0612338299999999</v>
      </c>
      <c r="I228" s="354">
        <f t="shared" si="7"/>
        <v>0</v>
      </c>
      <c r="J228" s="34"/>
    </row>
    <row r="229" spans="5:10" ht="14.5" x14ac:dyDescent="0.35">
      <c r="E229" s="395"/>
      <c r="F229" s="380" t="s">
        <v>203</v>
      </c>
      <c r="G229" s="500">
        <v>0.97813422999999999</v>
      </c>
      <c r="H229" s="495">
        <v>0.97813422999999988</v>
      </c>
      <c r="I229" s="354">
        <f t="shared" si="7"/>
        <v>0</v>
      </c>
      <c r="J229" s="34"/>
    </row>
    <row r="230" spans="5:10" ht="14.5" x14ac:dyDescent="0.35">
      <c r="E230" s="395"/>
      <c r="F230" s="380" t="s">
        <v>206</v>
      </c>
      <c r="G230" s="500">
        <v>14.2304589</v>
      </c>
      <c r="H230" s="495">
        <v>14.230458899999999</v>
      </c>
      <c r="I230" s="354">
        <f t="shared" si="7"/>
        <v>0</v>
      </c>
      <c r="J230" s="34"/>
    </row>
    <row r="231" spans="5:10" ht="14.5" x14ac:dyDescent="0.35">
      <c r="E231" s="395"/>
      <c r="F231" s="380" t="s">
        <v>209</v>
      </c>
      <c r="G231" s="500">
        <v>30.441451820000001</v>
      </c>
      <c r="H231" s="495">
        <v>30.44145181999999</v>
      </c>
      <c r="I231" s="354">
        <f t="shared" si="7"/>
        <v>0</v>
      </c>
      <c r="J231" s="34"/>
    </row>
    <row r="232" spans="5:10" ht="14.5" x14ac:dyDescent="0.35">
      <c r="E232" s="395"/>
      <c r="F232" s="380" t="s">
        <v>210</v>
      </c>
      <c r="G232" s="500">
        <v>15.000493000000001</v>
      </c>
      <c r="H232" s="495">
        <v>15.000492999999999</v>
      </c>
      <c r="I232" s="354">
        <f t="shared" si="7"/>
        <v>0</v>
      </c>
      <c r="J232" s="34"/>
    </row>
    <row r="233" spans="5:10" ht="14.5" x14ac:dyDescent="0.35">
      <c r="E233" s="395"/>
      <c r="F233" s="380" t="s">
        <v>211</v>
      </c>
      <c r="G233" s="500">
        <v>1.07938716</v>
      </c>
      <c r="H233" s="495">
        <v>1.07938716</v>
      </c>
      <c r="I233" s="354">
        <f t="shared" si="7"/>
        <v>0</v>
      </c>
      <c r="J233" s="34"/>
    </row>
    <row r="234" spans="5:10" ht="14.5" x14ac:dyDescent="0.35">
      <c r="E234" s="395"/>
      <c r="F234" s="380" t="s">
        <v>215</v>
      </c>
      <c r="G234" s="500">
        <v>20.889708890000001</v>
      </c>
      <c r="H234" s="495">
        <v>20.889708890000005</v>
      </c>
      <c r="I234" s="354">
        <f t="shared" si="7"/>
        <v>0</v>
      </c>
      <c r="J234" s="34"/>
    </row>
    <row r="235" spans="5:10" ht="14.5" x14ac:dyDescent="0.35">
      <c r="E235" s="395"/>
      <c r="F235" s="380" t="s">
        <v>371</v>
      </c>
      <c r="G235" s="500">
        <v>0.10998430000000001</v>
      </c>
      <c r="H235" s="495">
        <v>0.10998429999999999</v>
      </c>
      <c r="I235" s="354">
        <f t="shared" si="7"/>
        <v>0</v>
      </c>
      <c r="J235" s="34"/>
    </row>
    <row r="236" spans="5:10" ht="14.5" x14ac:dyDescent="0.35">
      <c r="E236" s="395"/>
      <c r="F236" s="380" t="s">
        <v>120</v>
      </c>
      <c r="G236" s="500">
        <v>5.1798073999999898</v>
      </c>
      <c r="H236" s="495">
        <v>5.1798073999999996</v>
      </c>
      <c r="I236" s="354">
        <f t="shared" si="7"/>
        <v>9.7699626167013776E-15</v>
      </c>
      <c r="J236" s="34"/>
    </row>
    <row r="237" spans="5:10" ht="14.5" x14ac:dyDescent="0.35">
      <c r="E237" s="395"/>
      <c r="F237" s="380" t="s">
        <v>102</v>
      </c>
      <c r="G237" s="500">
        <v>27.442214779999901</v>
      </c>
      <c r="H237" s="495">
        <v>27.442214779999972</v>
      </c>
      <c r="I237" s="354">
        <f t="shared" si="7"/>
        <v>7.1054273576010019E-14</v>
      </c>
      <c r="J237" s="34"/>
    </row>
    <row r="238" spans="5:10" ht="14.5" x14ac:dyDescent="0.35">
      <c r="E238" s="395"/>
      <c r="F238" s="380" t="s">
        <v>207</v>
      </c>
      <c r="G238" s="500">
        <v>35.816059949999897</v>
      </c>
      <c r="H238" s="495">
        <v>35.816059949999982</v>
      </c>
      <c r="I238" s="354">
        <f t="shared" si="7"/>
        <v>8.5265128291212022E-14</v>
      </c>
      <c r="J238" s="34"/>
    </row>
    <row r="239" spans="5:10" ht="14.5" x14ac:dyDescent="0.35">
      <c r="E239" s="395"/>
      <c r="F239" s="380" t="s">
        <v>18</v>
      </c>
      <c r="G239" s="500">
        <v>37.9997772299999</v>
      </c>
      <c r="H239" s="495">
        <v>37.999777229999992</v>
      </c>
      <c r="I239" s="354">
        <f t="shared" si="7"/>
        <v>9.2370555648813024E-14</v>
      </c>
      <c r="J239" s="34"/>
    </row>
    <row r="240" spans="5:10" ht="14.5" x14ac:dyDescent="0.35">
      <c r="E240" s="395"/>
      <c r="F240" s="380" t="s">
        <v>119</v>
      </c>
      <c r="G240" s="500">
        <v>61.923373479999903</v>
      </c>
      <c r="H240" s="495">
        <v>61.923373479999995</v>
      </c>
      <c r="I240" s="355">
        <f t="shared" si="7"/>
        <v>9.2370555648813024E-14</v>
      </c>
      <c r="J240" s="34"/>
    </row>
    <row r="241" spans="5:10" ht="14.5" x14ac:dyDescent="0.35">
      <c r="E241" s="395"/>
      <c r="F241" s="380" t="s">
        <v>29</v>
      </c>
      <c r="G241" s="500">
        <v>51.431496839999902</v>
      </c>
      <c r="H241" s="495">
        <v>51.431496840000008</v>
      </c>
      <c r="I241" s="354">
        <f t="shared" si="7"/>
        <v>1.0658141036401503E-13</v>
      </c>
      <c r="J241" s="34"/>
    </row>
    <row r="242" spans="5:10" ht="14.5" x14ac:dyDescent="0.35">
      <c r="E242" s="395"/>
      <c r="F242" s="380" t="s">
        <v>24</v>
      </c>
      <c r="G242" s="500">
        <v>19.710018980000001</v>
      </c>
      <c r="H242" s="495">
        <v>19.710025049999999</v>
      </c>
      <c r="I242" s="354">
        <f t="shared" si="7"/>
        <v>6.0699999977487096E-6</v>
      </c>
      <c r="J242" s="34"/>
    </row>
    <row r="243" spans="5:10" ht="14.5" x14ac:dyDescent="0.35">
      <c r="E243" s="395"/>
      <c r="F243" s="380" t="s">
        <v>198</v>
      </c>
      <c r="G243" s="500">
        <v>50.699219250000098</v>
      </c>
      <c r="H243" s="495">
        <v>50.699591530000021</v>
      </c>
      <c r="I243" s="354">
        <f t="shared" si="7"/>
        <v>3.7227999992239802E-4</v>
      </c>
      <c r="J243" s="34"/>
    </row>
    <row r="244" spans="5:10" ht="14.5" x14ac:dyDescent="0.35">
      <c r="E244" s="395"/>
      <c r="F244" s="380" t="s">
        <v>200</v>
      </c>
      <c r="G244" s="500">
        <v>71.886403040000005</v>
      </c>
      <c r="H244" s="495">
        <v>71.886803039999961</v>
      </c>
      <c r="I244" s="354">
        <f t="shared" si="7"/>
        <v>3.999999999564352E-4</v>
      </c>
      <c r="J244" s="34"/>
    </row>
    <row r="245" spans="5:10" ht="14.5" x14ac:dyDescent="0.35">
      <c r="E245" s="395"/>
      <c r="F245" s="380" t="s">
        <v>172</v>
      </c>
      <c r="G245" s="500">
        <v>59.087299209999998</v>
      </c>
      <c r="H245" s="495">
        <v>59.088948169999981</v>
      </c>
      <c r="I245" s="354">
        <f t="shared" si="7"/>
        <v>1.6489599999829352E-3</v>
      </c>
      <c r="J245" s="34"/>
    </row>
    <row r="246" spans="5:10" ht="14.5" x14ac:dyDescent="0.35">
      <c r="E246" s="395"/>
      <c r="F246" s="380" t="s">
        <v>355</v>
      </c>
      <c r="G246" s="500">
        <v>269.41027974999997</v>
      </c>
      <c r="H246" s="495">
        <v>269.41287444999995</v>
      </c>
      <c r="I246" s="354">
        <f t="shared" si="7"/>
        <v>2.5946999999746367E-3</v>
      </c>
      <c r="J246" s="34"/>
    </row>
    <row r="247" spans="5:10" ht="14.5" x14ac:dyDescent="0.35">
      <c r="E247" s="395"/>
      <c r="F247" s="380" t="s">
        <v>80</v>
      </c>
      <c r="G247" s="500">
        <v>79.242831140000106</v>
      </c>
      <c r="H247" s="495">
        <v>79.248358840000051</v>
      </c>
      <c r="I247" s="354">
        <f t="shared" si="7"/>
        <v>5.5276999999449572E-3</v>
      </c>
      <c r="J247" s="34"/>
    </row>
    <row r="248" spans="5:10" ht="14.5" x14ac:dyDescent="0.35">
      <c r="E248" s="395"/>
      <c r="F248" s="380" t="s">
        <v>28</v>
      </c>
      <c r="G248" s="500">
        <v>133.250876500001</v>
      </c>
      <c r="H248" s="495">
        <v>133.27380017000004</v>
      </c>
      <c r="I248" s="354">
        <f t="shared" si="7"/>
        <v>2.292366999904516E-2</v>
      </c>
      <c r="J248" s="34"/>
    </row>
    <row r="249" spans="5:10" ht="14.5" x14ac:dyDescent="0.35">
      <c r="E249" s="395"/>
      <c r="F249" s="380" t="s">
        <v>213</v>
      </c>
      <c r="G249" s="500">
        <v>8.3684871600000008</v>
      </c>
      <c r="H249" s="495">
        <v>8.3939312199999971</v>
      </c>
      <c r="I249" s="354">
        <f t="shared" si="7"/>
        <v>2.5444059999996327E-2</v>
      </c>
      <c r="J249" s="34"/>
    </row>
    <row r="250" spans="5:10" ht="14.5" x14ac:dyDescent="0.35">
      <c r="E250" s="395"/>
      <c r="F250" s="380" t="s">
        <v>178</v>
      </c>
      <c r="G250" s="500">
        <v>142.84611287999999</v>
      </c>
      <c r="H250" s="495">
        <v>142.87421097000004</v>
      </c>
      <c r="I250" s="354">
        <f t="shared" si="7"/>
        <v>2.809809000004293E-2</v>
      </c>
      <c r="J250" s="34"/>
    </row>
    <row r="251" spans="5:10" ht="14.5" x14ac:dyDescent="0.35">
      <c r="E251" s="395"/>
      <c r="F251" s="380" t="s">
        <v>140</v>
      </c>
      <c r="G251" s="500">
        <v>51.667879689999999</v>
      </c>
      <c r="H251" s="495">
        <v>51.714104240000005</v>
      </c>
      <c r="I251" s="354">
        <f t="shared" si="7"/>
        <v>4.6224550000005138E-2</v>
      </c>
      <c r="J251" s="34"/>
    </row>
    <row r="252" spans="5:10" ht="14.5" x14ac:dyDescent="0.35">
      <c r="E252" s="395"/>
      <c r="F252" s="380" t="s">
        <v>176</v>
      </c>
      <c r="G252" s="500">
        <v>65.548022980000098</v>
      </c>
      <c r="H252" s="495">
        <v>65.618812980000001</v>
      </c>
      <c r="I252" s="354">
        <f t="shared" si="7"/>
        <v>7.0789999999902875E-2</v>
      </c>
      <c r="J252" s="34"/>
    </row>
    <row r="253" spans="5:10" ht="14.5" x14ac:dyDescent="0.35">
      <c r="E253" s="395"/>
      <c r="F253" s="380" t="s">
        <v>165</v>
      </c>
      <c r="G253" s="500">
        <v>39.951682939999998</v>
      </c>
      <c r="H253" s="495">
        <v>40.840001210000004</v>
      </c>
      <c r="I253" s="354">
        <f t="shared" si="7"/>
        <v>0.88831827000000629</v>
      </c>
      <c r="J253" s="34"/>
    </row>
    <row r="254" spans="5:10" ht="14.5" x14ac:dyDescent="0.35">
      <c r="E254" s="395"/>
      <c r="F254" s="382" t="s">
        <v>8</v>
      </c>
      <c r="G254" s="501">
        <v>28.959922710000001</v>
      </c>
      <c r="H254" s="498">
        <v>30.977419199999993</v>
      </c>
      <c r="I254" s="354">
        <f t="shared" si="7"/>
        <v>2.0174964899999921</v>
      </c>
      <c r="J254" s="34"/>
    </row>
    <row r="255" spans="5:10" ht="13" x14ac:dyDescent="0.3">
      <c r="E255" s="395"/>
      <c r="F255" s="422" t="s">
        <v>217</v>
      </c>
      <c r="G255" s="423">
        <f>SUM(G11:G254)</f>
        <v>11108.350413901095</v>
      </c>
      <c r="H255" s="423">
        <f>SUM(H11:H254)</f>
        <v>11106.106186861096</v>
      </c>
      <c r="I255" s="424">
        <f>SUM(I11:I254)</f>
        <v>-2.2442270399991999</v>
      </c>
      <c r="J255" s="34"/>
    </row>
    <row r="256" spans="5:10" x14ac:dyDescent="0.25">
      <c r="E256" s="395"/>
      <c r="F256" s="34"/>
      <c r="G256" s="20"/>
      <c r="H256" s="20"/>
      <c r="I256" s="20"/>
      <c r="J256" s="34"/>
    </row>
    <row r="257" spans="1:10" x14ac:dyDescent="0.25">
      <c r="E257" s="395"/>
      <c r="J257" s="34"/>
    </row>
    <row r="258" spans="1:10" x14ac:dyDescent="0.25">
      <c r="E258" s="395"/>
      <c r="J258" s="34"/>
    </row>
    <row r="259" spans="1:10" x14ac:dyDescent="0.25">
      <c r="E259" s="395"/>
    </row>
    <row r="260" spans="1:10" x14ac:dyDescent="0.25">
      <c r="E260" s="395"/>
      <c r="J260" s="34"/>
    </row>
    <row r="261" spans="1:10" x14ac:dyDescent="0.25">
      <c r="E261" s="395"/>
      <c r="J261" s="34"/>
    </row>
    <row r="262" spans="1:10" x14ac:dyDescent="0.25">
      <c r="E262" s="395"/>
      <c r="J262" s="34"/>
    </row>
    <row r="263" spans="1:10" x14ac:dyDescent="0.25">
      <c r="E263" s="395"/>
      <c r="J263" s="34"/>
    </row>
    <row r="264" spans="1:10" x14ac:dyDescent="0.25">
      <c r="E264" s="395"/>
      <c r="J264" s="34"/>
    </row>
    <row r="265" spans="1:10" x14ac:dyDescent="0.25">
      <c r="E265" s="395"/>
      <c r="J265" s="34"/>
    </row>
    <row r="266" spans="1:10" x14ac:dyDescent="0.25">
      <c r="E266" s="395"/>
      <c r="J266" s="34"/>
    </row>
    <row r="267" spans="1:10" s="11" customFormat="1" ht="13" x14ac:dyDescent="0.3">
      <c r="A267" s="30"/>
      <c r="B267" s="20"/>
      <c r="C267" s="20"/>
      <c r="D267" s="20"/>
      <c r="E267" s="407"/>
      <c r="F267" s="17"/>
      <c r="G267" s="17"/>
      <c r="H267" s="17"/>
      <c r="I267" s="17"/>
      <c r="J267" s="156"/>
    </row>
    <row r="268" spans="1:10" s="11" customFormat="1" ht="13" x14ac:dyDescent="0.3">
      <c r="A268" s="30"/>
      <c r="B268" s="20"/>
      <c r="C268" s="20"/>
      <c r="D268" s="20"/>
      <c r="E268" s="407"/>
      <c r="F268" s="17"/>
      <c r="G268" s="17"/>
      <c r="H268" s="17"/>
      <c r="I268" s="17"/>
      <c r="J268" s="156"/>
    </row>
    <row r="269" spans="1:10" s="11" customFormat="1" ht="13" x14ac:dyDescent="0.3">
      <c r="A269" s="30"/>
      <c r="B269" s="20"/>
      <c r="C269" s="20"/>
      <c r="D269" s="20"/>
      <c r="E269" s="406"/>
      <c r="F269" s="17"/>
      <c r="G269" s="17"/>
      <c r="H269" s="17"/>
      <c r="I269" s="17"/>
    </row>
    <row r="270" spans="1:10" s="11" customFormat="1" ht="13" x14ac:dyDescent="0.3">
      <c r="A270" s="30"/>
      <c r="B270" s="20"/>
      <c r="C270" s="20"/>
      <c r="D270" s="20"/>
      <c r="E270" s="408"/>
      <c r="F270" s="17"/>
      <c r="G270" s="17"/>
      <c r="H270" s="17"/>
      <c r="I270" s="17"/>
    </row>
    <row r="271" spans="1:10" s="11" customFormat="1" ht="13" x14ac:dyDescent="0.3">
      <c r="A271" s="30"/>
      <c r="B271" s="20"/>
      <c r="C271" s="20"/>
      <c r="D271" s="20"/>
      <c r="E271" s="229"/>
      <c r="F271" s="17"/>
      <c r="G271" s="17"/>
      <c r="H271" s="17"/>
      <c r="I271" s="17"/>
    </row>
    <row r="273" spans="1:9" s="11" customFormat="1" ht="13" x14ac:dyDescent="0.3">
      <c r="A273" s="30"/>
      <c r="B273" s="20"/>
      <c r="C273" s="20"/>
      <c r="D273" s="20"/>
      <c r="F273" s="17"/>
      <c r="G273" s="17"/>
      <c r="H273" s="17"/>
      <c r="I273" s="17"/>
    </row>
  </sheetData>
  <mergeCells count="3">
    <mergeCell ref="A2:E2"/>
    <mergeCell ref="A9:D9"/>
    <mergeCell ref="F9:I9"/>
  </mergeCells>
  <hyperlinks>
    <hyperlink ref="K1" location="'Table of Content'!A1" display="Table of Content" xr:uid="{C35CFB65-445E-4BD3-A803-9E44C855001F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N41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1796875" style="389" bestFit="1" customWidth="1"/>
    <col min="2" max="2" width="17.453125" style="18" bestFit="1" customWidth="1"/>
    <col min="3" max="3" width="34.7265625" style="18" customWidth="1"/>
    <col min="4" max="4" width="30.1796875" style="18" customWidth="1"/>
    <col min="5" max="5" width="33.08984375" style="18" bestFit="1" customWidth="1"/>
    <col min="6" max="6" width="44.26953125" style="18" bestFit="1" customWidth="1"/>
    <col min="7" max="7" width="12.81640625" style="14" customWidth="1"/>
    <col min="8" max="16384" width="8.81640625" style="14"/>
  </cols>
  <sheetData>
    <row r="1" spans="1:14" ht="13" x14ac:dyDescent="0.3">
      <c r="A1" s="624" t="s">
        <v>647</v>
      </c>
      <c r="B1" s="624"/>
      <c r="C1" s="624"/>
      <c r="H1" s="623" t="s">
        <v>239</v>
      </c>
      <c r="I1" s="623"/>
    </row>
    <row r="2" spans="1:14" s="260" customFormat="1" ht="13" x14ac:dyDescent="0.3">
      <c r="A2" s="388" t="s">
        <v>626</v>
      </c>
      <c r="B2" s="388" t="s">
        <v>970</v>
      </c>
      <c r="C2" s="388" t="s">
        <v>979</v>
      </c>
      <c r="D2" s="388" t="s">
        <v>977</v>
      </c>
      <c r="E2" s="388" t="s">
        <v>463</v>
      </c>
      <c r="F2" s="388" t="s">
        <v>978</v>
      </c>
    </row>
    <row r="3" spans="1:14" ht="13.5" customHeight="1" x14ac:dyDescent="0.25">
      <c r="A3" s="379" t="s">
        <v>254</v>
      </c>
      <c r="B3" s="379"/>
      <c r="C3" s="379">
        <v>5.2634999999999999E-3</v>
      </c>
      <c r="D3" s="379"/>
      <c r="E3" s="379"/>
      <c r="F3" s="379"/>
    </row>
    <row r="4" spans="1:14" x14ac:dyDescent="0.25">
      <c r="A4" s="381" t="s">
        <v>262</v>
      </c>
      <c r="B4" s="381"/>
      <c r="C4" s="381">
        <v>0.1028131</v>
      </c>
      <c r="D4" s="381"/>
      <c r="E4" s="381"/>
      <c r="F4" s="381"/>
      <c r="J4" s="4"/>
      <c r="K4" s="4"/>
      <c r="L4" s="4"/>
      <c r="M4" s="4"/>
      <c r="N4" s="4"/>
    </row>
    <row r="5" spans="1:14" x14ac:dyDescent="0.25">
      <c r="A5" s="381" t="s">
        <v>520</v>
      </c>
      <c r="B5" s="381"/>
      <c r="C5" s="381">
        <v>450.30319910000003</v>
      </c>
      <c r="D5" s="381"/>
      <c r="E5" s="381"/>
      <c r="F5" s="381"/>
      <c r="J5" s="4"/>
      <c r="K5" s="4"/>
      <c r="L5" s="4"/>
      <c r="M5" s="4"/>
      <c r="N5" s="4"/>
    </row>
    <row r="6" spans="1:14" x14ac:dyDescent="0.25">
      <c r="A6" s="381" t="s">
        <v>251</v>
      </c>
      <c r="B6" s="381"/>
      <c r="C6" s="381">
        <v>6.285046040000001</v>
      </c>
      <c r="D6" s="381"/>
      <c r="E6" s="381">
        <v>0.10052952999999999</v>
      </c>
      <c r="F6" s="381"/>
      <c r="J6" s="4"/>
      <c r="K6" s="4"/>
      <c r="L6" s="4"/>
      <c r="M6" s="4"/>
      <c r="N6" s="4"/>
    </row>
    <row r="7" spans="1:14" x14ac:dyDescent="0.25">
      <c r="A7" s="381" t="s">
        <v>245</v>
      </c>
      <c r="B7" s="381"/>
      <c r="C7" s="381">
        <v>1.7521211700000001</v>
      </c>
      <c r="D7" s="381"/>
      <c r="E7" s="381"/>
      <c r="F7" s="381">
        <v>0.13500000000000001</v>
      </c>
      <c r="J7" s="4"/>
      <c r="K7" s="4"/>
      <c r="L7" s="4"/>
      <c r="M7" s="4"/>
      <c r="N7" s="4"/>
    </row>
    <row r="8" spans="1:14" x14ac:dyDescent="0.25">
      <c r="A8" s="381" t="s">
        <v>266</v>
      </c>
      <c r="B8" s="381"/>
      <c r="C8" s="381">
        <v>0.37380105000000002</v>
      </c>
      <c r="D8" s="381"/>
      <c r="E8" s="381"/>
      <c r="F8" s="381"/>
      <c r="J8" s="4"/>
      <c r="K8" s="4"/>
      <c r="L8" s="4"/>
      <c r="M8" s="4"/>
      <c r="N8" s="4"/>
    </row>
    <row r="9" spans="1:14" x14ac:dyDescent="0.25">
      <c r="A9" s="381" t="s">
        <v>246</v>
      </c>
      <c r="B9" s="381"/>
      <c r="C9" s="381">
        <v>0.96868036000000002</v>
      </c>
      <c r="D9" s="381">
        <v>337.77557667999997</v>
      </c>
      <c r="E9" s="381">
        <v>36.776741309999998</v>
      </c>
      <c r="F9" s="381">
        <v>178.59386423000007</v>
      </c>
      <c r="J9" s="4"/>
      <c r="K9" s="4"/>
      <c r="L9" s="4"/>
      <c r="M9" s="4"/>
      <c r="N9" s="4"/>
    </row>
    <row r="10" spans="1:14" x14ac:dyDescent="0.25">
      <c r="A10" s="381" t="s">
        <v>576</v>
      </c>
      <c r="B10" s="381"/>
      <c r="C10" s="381">
        <v>73.83351248000001</v>
      </c>
      <c r="D10" s="381"/>
      <c r="E10" s="381"/>
      <c r="F10" s="381"/>
      <c r="J10" s="4"/>
      <c r="K10" s="4"/>
      <c r="L10" s="4"/>
      <c r="M10" s="4"/>
      <c r="N10" s="4"/>
    </row>
    <row r="11" spans="1:14" x14ac:dyDescent="0.25">
      <c r="A11" s="381" t="s">
        <v>544</v>
      </c>
      <c r="B11" s="381"/>
      <c r="C11" s="381"/>
      <c r="D11" s="381"/>
      <c r="E11" s="381">
        <v>0.18445820999999998</v>
      </c>
      <c r="F11" s="381"/>
      <c r="J11" s="4"/>
      <c r="K11" s="4"/>
      <c r="L11" s="4"/>
      <c r="M11" s="4"/>
      <c r="N11" s="4"/>
    </row>
    <row r="12" spans="1:14" ht="13.5" customHeight="1" x14ac:dyDescent="0.25">
      <c r="A12" s="381" t="s">
        <v>256</v>
      </c>
      <c r="B12" s="381"/>
      <c r="C12" s="381">
        <v>0.11734492000000002</v>
      </c>
      <c r="D12" s="381"/>
      <c r="E12" s="381">
        <v>2.6573500000000001</v>
      </c>
      <c r="F12" s="381"/>
      <c r="J12" s="4"/>
      <c r="K12" s="4"/>
      <c r="L12" s="4"/>
      <c r="M12" s="4"/>
      <c r="N12" s="4"/>
    </row>
    <row r="13" spans="1:14" x14ac:dyDescent="0.25">
      <c r="A13" s="381" t="s">
        <v>257</v>
      </c>
      <c r="B13" s="381"/>
      <c r="C13" s="381">
        <v>1.3064165800000003</v>
      </c>
      <c r="D13" s="381"/>
      <c r="E13" s="381">
        <v>25.592555519999994</v>
      </c>
      <c r="F13" s="381">
        <v>5.5870791100000003</v>
      </c>
      <c r="J13" s="4"/>
      <c r="K13" s="4"/>
      <c r="L13" s="4"/>
      <c r="M13" s="4"/>
      <c r="N13" s="4"/>
    </row>
    <row r="14" spans="1:14" x14ac:dyDescent="0.25">
      <c r="A14" s="381" t="s">
        <v>614</v>
      </c>
      <c r="B14" s="381"/>
      <c r="C14" s="381">
        <v>0.11073031</v>
      </c>
      <c r="D14" s="381"/>
      <c r="E14" s="381">
        <v>2.4074198</v>
      </c>
      <c r="F14" s="381"/>
      <c r="J14" s="4"/>
      <c r="K14" s="4"/>
      <c r="L14" s="4"/>
      <c r="M14" s="4"/>
      <c r="N14" s="4"/>
    </row>
    <row r="15" spans="1:14" x14ac:dyDescent="0.25">
      <c r="A15" s="381" t="s">
        <v>547</v>
      </c>
      <c r="B15" s="381"/>
      <c r="C15" s="381"/>
      <c r="D15" s="381"/>
      <c r="E15" s="381">
        <v>4.7398429999999998E-2</v>
      </c>
      <c r="F15" s="381"/>
      <c r="J15" s="4"/>
      <c r="K15" s="4"/>
      <c r="L15" s="4"/>
      <c r="M15" s="4"/>
      <c r="N15" s="4"/>
    </row>
    <row r="16" spans="1:14" x14ac:dyDescent="0.25">
      <c r="A16" s="381" t="s">
        <v>522</v>
      </c>
      <c r="B16" s="381"/>
      <c r="C16" s="381">
        <v>241.25361086000004</v>
      </c>
      <c r="D16" s="381"/>
      <c r="E16" s="381">
        <v>56.852283319999984</v>
      </c>
      <c r="F16" s="381">
        <v>2.4251458000000001</v>
      </c>
      <c r="J16" s="4"/>
      <c r="K16" s="4"/>
      <c r="L16" s="4"/>
      <c r="M16" s="4"/>
      <c r="N16" s="4"/>
    </row>
    <row r="17" spans="1:14" x14ac:dyDescent="0.25">
      <c r="A17" s="381" t="s">
        <v>255</v>
      </c>
      <c r="B17" s="381"/>
      <c r="C17" s="381">
        <v>289.48635246999999</v>
      </c>
      <c r="D17" s="381"/>
      <c r="E17" s="381"/>
      <c r="F17" s="381"/>
      <c r="J17" s="4"/>
      <c r="K17" s="4"/>
      <c r="L17" s="4"/>
      <c r="M17" s="4"/>
      <c r="N17" s="4"/>
    </row>
    <row r="18" spans="1:14" x14ac:dyDescent="0.25">
      <c r="A18" s="381" t="s">
        <v>588</v>
      </c>
      <c r="B18" s="381"/>
      <c r="C18" s="381"/>
      <c r="D18" s="381"/>
      <c r="E18" s="381">
        <v>3.2795980000000002E-2</v>
      </c>
      <c r="F18" s="381"/>
      <c r="J18" s="4"/>
      <c r="K18" s="4"/>
      <c r="L18" s="4"/>
      <c r="M18" s="4"/>
      <c r="N18" s="4"/>
    </row>
    <row r="19" spans="1:14" x14ac:dyDescent="0.25">
      <c r="A19" s="381" t="s">
        <v>524</v>
      </c>
      <c r="B19" s="381"/>
      <c r="C19" s="381">
        <v>1.5940357500000009</v>
      </c>
      <c r="D19" s="381"/>
      <c r="E19" s="381">
        <v>108.59199970000003</v>
      </c>
      <c r="F19" s="381">
        <v>20.691285479999998</v>
      </c>
      <c r="J19" s="4"/>
      <c r="K19" s="4"/>
      <c r="L19" s="4"/>
      <c r="M19" s="4"/>
      <c r="N19" s="4"/>
    </row>
    <row r="20" spans="1:14" x14ac:dyDescent="0.25">
      <c r="A20" s="381" t="s">
        <v>540</v>
      </c>
      <c r="B20" s="381"/>
      <c r="C20" s="381"/>
      <c r="D20" s="381"/>
      <c r="E20" s="381">
        <v>0.13305157000000001</v>
      </c>
      <c r="F20" s="381"/>
      <c r="J20" s="4"/>
      <c r="K20" s="4"/>
      <c r="L20" s="4"/>
      <c r="M20" s="4"/>
      <c r="N20" s="4"/>
    </row>
    <row r="21" spans="1:14" x14ac:dyDescent="0.25">
      <c r="A21" s="381" t="s">
        <v>248</v>
      </c>
      <c r="B21" s="381"/>
      <c r="C21" s="381">
        <v>18.191623379999996</v>
      </c>
      <c r="D21" s="381"/>
      <c r="E21" s="381"/>
      <c r="F21" s="381"/>
      <c r="J21" s="4"/>
      <c r="K21" s="4"/>
      <c r="L21" s="4"/>
      <c r="M21" s="4"/>
      <c r="N21" s="4"/>
    </row>
    <row r="22" spans="1:14" ht="13.5" customHeight="1" x14ac:dyDescent="0.25">
      <c r="A22" s="381" t="s">
        <v>276</v>
      </c>
      <c r="B22" s="381"/>
      <c r="C22" s="381">
        <v>35.867285100000004</v>
      </c>
      <c r="D22" s="381"/>
      <c r="E22" s="381"/>
      <c r="F22" s="381"/>
      <c r="J22" s="4"/>
      <c r="K22" s="4"/>
      <c r="L22" s="4"/>
      <c r="M22" s="4"/>
      <c r="N22" s="4"/>
    </row>
    <row r="23" spans="1:14" x14ac:dyDescent="0.25">
      <c r="A23" s="381" t="s">
        <v>611</v>
      </c>
      <c r="B23" s="381"/>
      <c r="C23" s="381">
        <v>1.0029440699999999</v>
      </c>
      <c r="D23" s="381"/>
      <c r="E23" s="381"/>
      <c r="F23" s="381"/>
      <c r="J23" s="4"/>
      <c r="K23" s="4"/>
      <c r="L23" s="4"/>
      <c r="M23" s="4"/>
      <c r="N23" s="4"/>
    </row>
    <row r="24" spans="1:14" x14ac:dyDescent="0.25">
      <c r="A24" s="381" t="s">
        <v>260</v>
      </c>
      <c r="B24" s="381"/>
      <c r="C24" s="381"/>
      <c r="D24" s="381"/>
      <c r="E24" s="381"/>
      <c r="F24" s="381">
        <v>0.36928308000000004</v>
      </c>
      <c r="J24" s="4"/>
      <c r="K24" s="4"/>
      <c r="L24" s="4"/>
      <c r="M24" s="4"/>
      <c r="N24" s="4"/>
    </row>
    <row r="25" spans="1:14" x14ac:dyDescent="0.25">
      <c r="A25" s="381" t="s">
        <v>259</v>
      </c>
      <c r="B25" s="381"/>
      <c r="C25" s="381"/>
      <c r="D25" s="381"/>
      <c r="E25" s="381">
        <v>0.55772516999999999</v>
      </c>
      <c r="F25" s="381">
        <v>14.049854999999999</v>
      </c>
      <c r="J25" s="4"/>
      <c r="K25" s="4"/>
      <c r="L25" s="4"/>
      <c r="M25" s="4"/>
      <c r="N25" s="4"/>
    </row>
    <row r="26" spans="1:14" x14ac:dyDescent="0.25">
      <c r="A26" s="381" t="s">
        <v>550</v>
      </c>
      <c r="B26" s="381"/>
      <c r="C26" s="381"/>
      <c r="D26" s="381"/>
      <c r="E26" s="381">
        <v>1.6017809999999999</v>
      </c>
      <c r="F26" s="381"/>
      <c r="J26" s="4"/>
      <c r="K26" s="4"/>
      <c r="L26" s="4"/>
      <c r="M26" s="4"/>
      <c r="N26" s="4"/>
    </row>
    <row r="27" spans="1:14" x14ac:dyDescent="0.25">
      <c r="A27" s="381" t="s">
        <v>264</v>
      </c>
      <c r="B27" s="381"/>
      <c r="C27" s="381">
        <v>8.8351400000000017E-3</v>
      </c>
      <c r="D27" s="381"/>
      <c r="E27" s="381"/>
      <c r="F27" s="381"/>
      <c r="J27" s="4"/>
      <c r="K27" s="4"/>
      <c r="L27" s="4"/>
      <c r="M27" s="4"/>
      <c r="N27" s="4"/>
    </row>
    <row r="28" spans="1:14" x14ac:dyDescent="0.25">
      <c r="A28" s="381" t="s">
        <v>527</v>
      </c>
      <c r="B28" s="381"/>
      <c r="C28" s="381">
        <v>1.20609335</v>
      </c>
      <c r="D28" s="381"/>
      <c r="E28" s="381">
        <v>1.0219145200000002</v>
      </c>
      <c r="F28" s="381"/>
      <c r="J28" s="4"/>
      <c r="K28" s="4"/>
      <c r="L28" s="4"/>
      <c r="M28" s="4"/>
      <c r="N28" s="4"/>
    </row>
    <row r="29" spans="1:14" x14ac:dyDescent="0.25">
      <c r="A29" s="381" t="s">
        <v>560</v>
      </c>
      <c r="B29" s="381"/>
      <c r="C29" s="381"/>
      <c r="D29" s="381"/>
      <c r="E29" s="381">
        <v>5.2047458200000003</v>
      </c>
      <c r="F29" s="381"/>
      <c r="J29" s="4"/>
      <c r="K29" s="4"/>
      <c r="L29" s="4"/>
      <c r="M29" s="4"/>
      <c r="N29" s="4"/>
    </row>
    <row r="30" spans="1:14" x14ac:dyDescent="0.25">
      <c r="A30" s="381" t="s">
        <v>235</v>
      </c>
      <c r="B30" s="381"/>
      <c r="C30" s="381">
        <v>54.784090140000004</v>
      </c>
      <c r="D30" s="381">
        <v>0.135522</v>
      </c>
      <c r="E30" s="381">
        <v>54.894878300000009</v>
      </c>
      <c r="F30" s="381">
        <v>144.21775904</v>
      </c>
      <c r="J30" s="4"/>
      <c r="K30" s="4"/>
      <c r="L30" s="4"/>
      <c r="M30" s="4"/>
      <c r="N30" s="4"/>
    </row>
    <row r="31" spans="1:14" x14ac:dyDescent="0.25">
      <c r="A31" s="381" t="s">
        <v>615</v>
      </c>
      <c r="B31" s="381"/>
      <c r="C31" s="381">
        <v>0.82918789999999998</v>
      </c>
      <c r="D31" s="381"/>
      <c r="E31" s="381">
        <v>2.7879749899999999</v>
      </c>
      <c r="F31" s="381"/>
      <c r="J31" s="4"/>
      <c r="K31" s="4"/>
      <c r="L31" s="4"/>
      <c r="M31" s="4"/>
      <c r="N31" s="4"/>
    </row>
    <row r="32" spans="1:14" x14ac:dyDescent="0.25">
      <c r="A32" s="381" t="s">
        <v>528</v>
      </c>
      <c r="B32" s="381"/>
      <c r="C32" s="381">
        <v>2.6238299999999999E-2</v>
      </c>
      <c r="D32" s="381"/>
      <c r="E32" s="381"/>
      <c r="F32" s="381"/>
      <c r="J32" s="4"/>
      <c r="K32" s="4"/>
      <c r="L32" s="4"/>
      <c r="M32" s="4"/>
      <c r="N32" s="4"/>
    </row>
    <row r="33" spans="1:14" x14ac:dyDescent="0.25">
      <c r="A33" s="381" t="s">
        <v>536</v>
      </c>
      <c r="B33" s="381"/>
      <c r="C33" s="381">
        <v>17.734389149999998</v>
      </c>
      <c r="D33" s="381"/>
      <c r="E33" s="381"/>
      <c r="F33" s="381"/>
      <c r="J33" s="4"/>
      <c r="K33" s="4"/>
      <c r="L33" s="4"/>
      <c r="M33" s="4"/>
      <c r="N33" s="4"/>
    </row>
    <row r="34" spans="1:14" x14ac:dyDescent="0.25">
      <c r="A34" s="381" t="s">
        <v>546</v>
      </c>
      <c r="B34" s="381"/>
      <c r="C34" s="381">
        <v>3.60648E-3</v>
      </c>
      <c r="D34" s="381"/>
      <c r="E34" s="381"/>
      <c r="F34" s="381"/>
      <c r="J34" s="4"/>
      <c r="K34" s="4"/>
      <c r="L34" s="4"/>
      <c r="M34" s="4"/>
      <c r="N34" s="4"/>
    </row>
    <row r="35" spans="1:14" x14ac:dyDescent="0.25">
      <c r="A35" s="381" t="s">
        <v>613</v>
      </c>
      <c r="B35" s="381"/>
      <c r="C35" s="381">
        <v>1.4723559999999998E-2</v>
      </c>
      <c r="D35" s="381"/>
      <c r="E35" s="381">
        <v>3.9292400000000001</v>
      </c>
      <c r="F35" s="381">
        <v>3.2493609999999999</v>
      </c>
      <c r="J35" s="4"/>
      <c r="K35" s="4"/>
      <c r="L35" s="4"/>
      <c r="M35" s="4"/>
      <c r="N35" s="4"/>
    </row>
    <row r="36" spans="1:14" x14ac:dyDescent="0.25">
      <c r="A36" s="381" t="s">
        <v>250</v>
      </c>
      <c r="B36" s="381"/>
      <c r="C36" s="381">
        <v>424.36177552999999</v>
      </c>
      <c r="D36" s="381"/>
      <c r="E36" s="381"/>
      <c r="F36" s="381"/>
      <c r="J36" s="4"/>
      <c r="K36" s="4"/>
      <c r="L36" s="4"/>
      <c r="M36" s="4"/>
      <c r="N36" s="4"/>
    </row>
    <row r="37" spans="1:14" x14ac:dyDescent="0.25">
      <c r="A37" s="381" t="s">
        <v>731</v>
      </c>
      <c r="B37" s="381"/>
      <c r="C37" s="381">
        <v>0.22630110000000001</v>
      </c>
      <c r="D37" s="381"/>
      <c r="E37" s="381">
        <v>5.1295610700000003</v>
      </c>
      <c r="F37" s="381">
        <v>1.3471001</v>
      </c>
      <c r="J37" s="4"/>
      <c r="K37" s="4"/>
      <c r="L37" s="4"/>
      <c r="M37" s="4"/>
      <c r="N37" s="4"/>
    </row>
    <row r="38" spans="1:14" x14ac:dyDescent="0.25">
      <c r="A38" s="381" t="s">
        <v>616</v>
      </c>
      <c r="B38" s="381"/>
      <c r="C38" s="381">
        <v>0.15388230999999999</v>
      </c>
      <c r="D38" s="381"/>
      <c r="E38" s="381">
        <v>5.7547990000000002</v>
      </c>
      <c r="F38" s="381"/>
      <c r="J38" s="4"/>
      <c r="K38" s="4"/>
      <c r="L38" s="4"/>
      <c r="M38" s="4"/>
      <c r="N38" s="4"/>
    </row>
    <row r="39" spans="1:14" x14ac:dyDescent="0.25">
      <c r="A39" s="381" t="s">
        <v>521</v>
      </c>
      <c r="B39" s="381"/>
      <c r="C39" s="381">
        <v>276.80674147000002</v>
      </c>
      <c r="D39" s="381"/>
      <c r="E39" s="381"/>
      <c r="F39" s="381"/>
      <c r="J39" s="4"/>
      <c r="K39" s="4"/>
      <c r="L39" s="4"/>
      <c r="M39" s="4"/>
      <c r="N39" s="4"/>
    </row>
    <row r="40" spans="1:14" x14ac:dyDescent="0.25">
      <c r="A40" s="383" t="s">
        <v>247</v>
      </c>
      <c r="B40" s="383">
        <v>799.58597953999958</v>
      </c>
      <c r="C40" s="383"/>
      <c r="D40" s="383"/>
      <c r="E40" s="383"/>
      <c r="F40" s="383"/>
      <c r="J40" s="4"/>
      <c r="K40" s="4"/>
      <c r="L40" s="4"/>
      <c r="M40" s="4"/>
      <c r="N40" s="4"/>
    </row>
    <row r="41" spans="1:14" x14ac:dyDescent="0.25">
      <c r="J41" s="4"/>
      <c r="K41" s="4"/>
      <c r="L41" s="4"/>
      <c r="M41" s="4"/>
      <c r="N41" s="4"/>
    </row>
  </sheetData>
  <mergeCells count="2">
    <mergeCell ref="H1:I1"/>
    <mergeCell ref="A1:C1"/>
  </mergeCells>
  <hyperlinks>
    <hyperlink ref="H1" location="'Table of Content'!A1" display="Table of Content" xr:uid="{659B50AF-45A2-4ED5-82CC-02EF730B265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N18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0" width="8.7265625" style="1"/>
    <col min="11" max="11" width="8.7265625" style="224"/>
    <col min="12" max="12" width="9.1796875" style="4" bestFit="1" customWidth="1"/>
    <col min="13" max="13" width="8.7265625" style="4"/>
    <col min="14" max="14" width="9.1796875" style="4" bestFit="1" customWidth="1"/>
    <col min="15" max="16384" width="8.7265625" style="1"/>
  </cols>
  <sheetData>
    <row r="1" spans="1:14" ht="13" x14ac:dyDescent="0.3">
      <c r="A1" s="3" t="s">
        <v>985</v>
      </c>
      <c r="H1" s="628" t="s">
        <v>239</v>
      </c>
      <c r="I1" s="628"/>
    </row>
    <row r="2" spans="1:14" ht="13" x14ac:dyDescent="0.3">
      <c r="A2" s="625" t="s">
        <v>290</v>
      </c>
      <c r="B2" s="626"/>
      <c r="C2" s="627"/>
      <c r="D2" s="625" t="s">
        <v>289</v>
      </c>
      <c r="E2" s="626"/>
      <c r="F2" s="627"/>
    </row>
    <row r="3" spans="1:14" ht="13" x14ac:dyDescent="0.3">
      <c r="A3" s="392" t="s">
        <v>649</v>
      </c>
      <c r="B3" s="261" t="s">
        <v>296</v>
      </c>
      <c r="C3" s="261" t="s">
        <v>234</v>
      </c>
      <c r="D3" s="261" t="s">
        <v>649</v>
      </c>
      <c r="E3" s="261" t="s">
        <v>296</v>
      </c>
      <c r="F3" s="261" t="s">
        <v>234</v>
      </c>
      <c r="K3" s="1"/>
      <c r="M3" s="1"/>
    </row>
    <row r="4" spans="1:14" s="53" customFormat="1" ht="14.5" x14ac:dyDescent="0.35">
      <c r="A4" s="528" t="s">
        <v>465</v>
      </c>
      <c r="B4" s="61">
        <v>3003.9171540799998</v>
      </c>
      <c r="C4" s="262">
        <f t="shared" ref="C4:C13" si="0">(B4/$B$15)*100</f>
        <v>26.263638992551698</v>
      </c>
      <c r="D4" s="528" t="s">
        <v>979</v>
      </c>
      <c r="E4" s="502">
        <v>1898.7106446700004</v>
      </c>
      <c r="F4" s="262">
        <f t="shared" ref="F4:F13" si="1">(E4/$E$15)*100</f>
        <v>16.885971276908439</v>
      </c>
      <c r="K4" s="1"/>
      <c r="L4" s="4"/>
      <c r="M4" s="1"/>
      <c r="N4" s="4"/>
    </row>
    <row r="5" spans="1:14" s="53" customFormat="1" ht="14.5" x14ac:dyDescent="0.35">
      <c r="A5" s="529" t="s">
        <v>462</v>
      </c>
      <c r="B5" s="61">
        <v>1806.82536009</v>
      </c>
      <c r="C5" s="262">
        <f t="shared" si="0"/>
        <v>15.797309494883363</v>
      </c>
      <c r="D5" s="529" t="s">
        <v>970</v>
      </c>
      <c r="E5" s="503">
        <v>799.58597953999958</v>
      </c>
      <c r="F5" s="262">
        <f t="shared" si="1"/>
        <v>7.1110286982552671</v>
      </c>
      <c r="K5" s="1"/>
      <c r="L5" s="4"/>
      <c r="M5" s="1"/>
      <c r="N5" s="4"/>
    </row>
    <row r="6" spans="1:14" s="53" customFormat="1" ht="14.5" x14ac:dyDescent="0.35">
      <c r="A6" s="529" t="s">
        <v>466</v>
      </c>
      <c r="B6" s="61">
        <v>1383.8911980000003</v>
      </c>
      <c r="C6" s="262">
        <f t="shared" si="0"/>
        <v>12.099541020921887</v>
      </c>
      <c r="D6" s="529" t="s">
        <v>978</v>
      </c>
      <c r="E6" s="503">
        <v>370.66573284000003</v>
      </c>
      <c r="F6" s="262">
        <f t="shared" si="1"/>
        <v>3.2964743393842899</v>
      </c>
      <c r="K6" s="1"/>
      <c r="L6" s="4"/>
      <c r="M6" s="1"/>
      <c r="N6" s="4"/>
    </row>
    <row r="7" spans="1:14" s="255" customFormat="1" ht="14.5" x14ac:dyDescent="0.35">
      <c r="A7" s="529" t="s">
        <v>464</v>
      </c>
      <c r="B7" s="61">
        <v>786.25527913999997</v>
      </c>
      <c r="C7" s="264">
        <f t="shared" si="0"/>
        <v>6.8743323294630985</v>
      </c>
      <c r="D7" s="529" t="s">
        <v>977</v>
      </c>
      <c r="E7" s="503">
        <v>337.91109867999995</v>
      </c>
      <c r="F7" s="264">
        <f t="shared" si="1"/>
        <v>3.0051746549568428</v>
      </c>
      <c r="K7" s="1"/>
      <c r="L7" s="4"/>
      <c r="M7" s="1"/>
      <c r="N7" s="4"/>
    </row>
    <row r="8" spans="1:14" s="53" customFormat="1" ht="14.5" x14ac:dyDescent="0.35">
      <c r="A8" s="529" t="s">
        <v>732</v>
      </c>
      <c r="B8" s="61">
        <v>717.77525735999996</v>
      </c>
      <c r="C8" s="262">
        <f t="shared" si="0"/>
        <v>6.2756025782816511</v>
      </c>
      <c r="D8" s="529" t="s">
        <v>463</v>
      </c>
      <c r="E8" s="503">
        <v>314.25920323999998</v>
      </c>
      <c r="F8" s="262">
        <f t="shared" si="1"/>
        <v>2.7948291617320469</v>
      </c>
      <c r="K8" s="1"/>
      <c r="L8" s="4"/>
      <c r="M8" s="1"/>
      <c r="N8" s="4"/>
    </row>
    <row r="9" spans="1:14" s="53" customFormat="1" ht="14.5" x14ac:dyDescent="0.35">
      <c r="A9" s="529" t="s">
        <v>970</v>
      </c>
      <c r="B9" s="556">
        <v>651.99157874999992</v>
      </c>
      <c r="C9" s="262">
        <f t="shared" si="0"/>
        <v>5.7004473066828805</v>
      </c>
      <c r="D9" s="529" t="s">
        <v>972</v>
      </c>
      <c r="E9" s="503">
        <v>239.6563202100001</v>
      </c>
      <c r="F9" s="262">
        <f t="shared" si="1"/>
        <v>2.1313567450394637</v>
      </c>
      <c r="K9" s="1"/>
      <c r="L9" s="4"/>
      <c r="M9" s="1"/>
      <c r="N9" s="4"/>
    </row>
    <row r="10" spans="1:14" s="53" customFormat="1" ht="14.5" x14ac:dyDescent="0.35">
      <c r="A10" s="529" t="s">
        <v>733</v>
      </c>
      <c r="B10" s="556">
        <v>534.37696572999982</v>
      </c>
      <c r="C10" s="262">
        <f t="shared" si="0"/>
        <v>4.6721274236227215</v>
      </c>
      <c r="D10" s="529" t="s">
        <v>976</v>
      </c>
      <c r="E10" s="503">
        <v>239.55035143999993</v>
      </c>
      <c r="F10" s="262">
        <f t="shared" si="1"/>
        <v>2.1304143236065323</v>
      </c>
      <c r="K10" s="1"/>
      <c r="L10" s="4"/>
      <c r="M10" s="1"/>
      <c r="N10" s="4"/>
    </row>
    <row r="11" spans="1:14" s="53" customFormat="1" ht="14.5" x14ac:dyDescent="0.35">
      <c r="A11" s="529" t="s">
        <v>979</v>
      </c>
      <c r="B11" s="557">
        <v>394.21154701999984</v>
      </c>
      <c r="C11" s="262">
        <f t="shared" si="0"/>
        <v>3.446642908765408</v>
      </c>
      <c r="D11" s="529" t="s">
        <v>732</v>
      </c>
      <c r="E11" s="503">
        <v>217.07189998999979</v>
      </c>
      <c r="F11" s="262">
        <f t="shared" si="1"/>
        <v>1.9305047235842216</v>
      </c>
      <c r="K11" s="1"/>
      <c r="L11" s="4"/>
      <c r="M11" s="1"/>
      <c r="N11" s="4"/>
    </row>
    <row r="12" spans="1:14" s="53" customFormat="1" ht="14.5" customHeight="1" x14ac:dyDescent="0.35">
      <c r="A12" s="529" t="s">
        <v>734</v>
      </c>
      <c r="B12" s="556">
        <v>183.72409444000002</v>
      </c>
      <c r="C12" s="262">
        <f t="shared" si="0"/>
        <v>1.6063236910684553</v>
      </c>
      <c r="D12" s="529" t="s">
        <v>975</v>
      </c>
      <c r="E12" s="503">
        <v>184.27654325000006</v>
      </c>
      <c r="F12" s="262">
        <f t="shared" si="1"/>
        <v>1.6388428774350157</v>
      </c>
      <c r="K12" s="1"/>
      <c r="L12" s="4"/>
      <c r="M12" s="1"/>
      <c r="N12" s="4"/>
    </row>
    <row r="13" spans="1:14" s="255" customFormat="1" ht="14.5" x14ac:dyDescent="0.35">
      <c r="A13" s="529" t="s">
        <v>742</v>
      </c>
      <c r="B13" s="556">
        <v>178.65173816000004</v>
      </c>
      <c r="C13" s="264">
        <f t="shared" si="0"/>
        <v>1.5619754193464535</v>
      </c>
      <c r="D13" s="529" t="s">
        <v>464</v>
      </c>
      <c r="E13" s="503">
        <v>176.19180356000001</v>
      </c>
      <c r="F13" s="264">
        <f t="shared" si="1"/>
        <v>1.5669421470262759</v>
      </c>
      <c r="K13" s="391"/>
      <c r="L13" s="333"/>
      <c r="M13" s="333"/>
      <c r="N13" s="333"/>
    </row>
    <row r="14" spans="1:14" s="53" customFormat="1" x14ac:dyDescent="0.35">
      <c r="A14" s="393" t="s">
        <v>648</v>
      </c>
      <c r="B14" s="263">
        <f>B15-SUM(B4:B13)</f>
        <v>1795.9310170399986</v>
      </c>
      <c r="C14" s="394">
        <f>((Table27[[#This Row],[Column2]]/B15))*100</f>
        <v>15.702058834412375</v>
      </c>
      <c r="D14" s="393" t="s">
        <v>648</v>
      </c>
      <c r="E14" s="263">
        <f>E15-SUM(E4:E13)</f>
        <v>6466.4285736099991</v>
      </c>
      <c r="F14" s="394">
        <f>((Table27[[#This Row],[Column5]]/E15))*100</f>
        <v>57.508461052071588</v>
      </c>
      <c r="K14" s="390"/>
      <c r="L14" s="334"/>
      <c r="M14" s="334"/>
      <c r="N14" s="334"/>
    </row>
    <row r="15" spans="1:14" ht="13" x14ac:dyDescent="0.3">
      <c r="A15" s="261" t="s">
        <v>217</v>
      </c>
      <c r="B15" s="4">
        <v>11437.551189809999</v>
      </c>
      <c r="C15" s="42">
        <f>SUM(C4:C14)</f>
        <v>99.999999999999986</v>
      </c>
      <c r="D15" s="42" t="s">
        <v>217</v>
      </c>
      <c r="E15" s="4">
        <v>11244.30815103</v>
      </c>
      <c r="F15" s="42">
        <f>SUM(F4:F14)</f>
        <v>99.999999999999972</v>
      </c>
    </row>
    <row r="16" spans="1:14" x14ac:dyDescent="0.25">
      <c r="B16" s="2"/>
    </row>
    <row r="17" spans="2:5" x14ac:dyDescent="0.25">
      <c r="B17" s="2"/>
      <c r="C17" s="2"/>
      <c r="D17" s="2"/>
      <c r="E17" s="2"/>
    </row>
    <row r="18" spans="2:5" x14ac:dyDescent="0.25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F0DBD0C1-6037-460C-A18B-CF8A000E9B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7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6.36328125" style="4" bestFit="1" customWidth="1"/>
    <col min="3" max="3" width="13.453125" style="4" customWidth="1"/>
    <col min="4" max="4" width="16.36328125" style="4" bestFit="1" customWidth="1"/>
    <col min="5" max="5" width="12.453125" style="4" customWidth="1"/>
    <col min="6" max="6" width="16.3632812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66" t="s">
        <v>346</v>
      </c>
      <c r="K1" s="629" t="s">
        <v>239</v>
      </c>
      <c r="L1" s="629"/>
    </row>
    <row r="2" spans="1:12" ht="13" x14ac:dyDescent="0.3">
      <c r="A2" s="630" t="s">
        <v>345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06" t="s">
        <v>233</v>
      </c>
      <c r="I2" s="606" t="s">
        <v>299</v>
      </c>
    </row>
    <row r="3" spans="1:12" ht="13" x14ac:dyDescent="0.3">
      <c r="A3" s="631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07"/>
      <c r="I3" s="607"/>
    </row>
    <row r="4" spans="1:12" x14ac:dyDescent="0.25">
      <c r="A4" s="62" t="s">
        <v>343</v>
      </c>
      <c r="B4" s="4">
        <v>3696.1329399599999</v>
      </c>
      <c r="C4" s="77">
        <f>(Table30329[[#This Row],[Column2]]/$B$13)*100</f>
        <v>36.452669407070793</v>
      </c>
      <c r="D4" s="4">
        <v>2094.29088099</v>
      </c>
      <c r="E4" s="77">
        <f t="shared" ref="E4:E12" si="0">(D4/$D$13)*100</f>
        <v>19.544738679748924</v>
      </c>
      <c r="F4" s="4">
        <v>3538.7193802199999</v>
      </c>
      <c r="G4" s="76">
        <f t="shared" ref="G4:G12" si="1">(F4/$F$13)*100</f>
        <v>30.939484523336869</v>
      </c>
      <c r="H4" s="76">
        <f t="shared" ref="H4:H12" si="2">((F4/D4)-1)*100</f>
        <v>68.969812758158923</v>
      </c>
      <c r="I4" s="76">
        <f t="shared" ref="I4:I10" si="3">((F4/B4)-1)*100</f>
        <v>-4.2588716990710758</v>
      </c>
    </row>
    <row r="5" spans="1:12" x14ac:dyDescent="0.25">
      <c r="A5" s="62" t="s">
        <v>344</v>
      </c>
      <c r="B5" s="4">
        <v>3672.0587517399999</v>
      </c>
      <c r="C5" s="75">
        <f t="shared" ref="C5:C12" si="4">(B5/$B$13)*100</f>
        <v>36.215240602781961</v>
      </c>
      <c r="D5" s="4">
        <v>4351.5234781300005</v>
      </c>
      <c r="E5" s="75">
        <f>(D5/$D$13)*100</f>
        <v>40.610112955579019</v>
      </c>
      <c r="F5" s="4">
        <v>3359.4888930500001</v>
      </c>
      <c r="G5" s="71">
        <f t="shared" si="1"/>
        <v>29.372449026003483</v>
      </c>
      <c r="H5" s="71">
        <f t="shared" si="2"/>
        <v>-22.797408541302687</v>
      </c>
      <c r="I5" s="71">
        <f t="shared" si="3"/>
        <v>-8.5121148604141776</v>
      </c>
    </row>
    <row r="6" spans="1:12" x14ac:dyDescent="0.25">
      <c r="A6" s="62" t="s">
        <v>342</v>
      </c>
      <c r="B6" s="4">
        <v>1860.349508</v>
      </c>
      <c r="C6" s="74">
        <f t="shared" si="4"/>
        <v>18.3474746981002</v>
      </c>
      <c r="D6" s="4">
        <v>1518.78830066</v>
      </c>
      <c r="E6" s="74">
        <f t="shared" si="0"/>
        <v>14.173924317632256</v>
      </c>
      <c r="F6" s="4">
        <v>2697.19717524</v>
      </c>
      <c r="G6" s="71">
        <f t="shared" si="1"/>
        <v>23.581946261739994</v>
      </c>
      <c r="H6" s="71">
        <f t="shared" si="2"/>
        <v>77.588751116130823</v>
      </c>
      <c r="I6" s="71">
        <f t="shared" si="3"/>
        <v>44.983357355235199</v>
      </c>
    </row>
    <row r="7" spans="1:12" x14ac:dyDescent="0.25">
      <c r="A7" s="62" t="s">
        <v>339</v>
      </c>
      <c r="B7" s="4">
        <v>679.53587221999999</v>
      </c>
      <c r="C7" s="72">
        <f t="shared" si="4"/>
        <v>6.7018413305635143</v>
      </c>
      <c r="D7" s="4">
        <v>2645.77667866</v>
      </c>
      <c r="E7" s="72">
        <f t="shared" si="0"/>
        <v>24.691419066361615</v>
      </c>
      <c r="F7" s="4">
        <v>2465.4128993099998</v>
      </c>
      <c r="G7" s="71">
        <f t="shared" si="1"/>
        <v>21.555426143198343</v>
      </c>
      <c r="H7" s="71">
        <f t="shared" si="2"/>
        <v>-6.8170447190330723</v>
      </c>
      <c r="I7" s="71">
        <f t="shared" si="3"/>
        <v>262.80835200879898</v>
      </c>
    </row>
    <row r="8" spans="1:12" x14ac:dyDescent="0.25">
      <c r="A8" s="62" t="s">
        <v>341</v>
      </c>
      <c r="B8" s="4">
        <v>1765.1007358199899</v>
      </c>
      <c r="C8" s="73">
        <f t="shared" si="4"/>
        <v>17.408095065357639</v>
      </c>
      <c r="D8" s="4">
        <v>1333.0797649800099</v>
      </c>
      <c r="E8" s="73">
        <f t="shared" si="0"/>
        <v>12.440819889106807</v>
      </c>
      <c r="F8" s="4">
        <v>1579.9495878499999</v>
      </c>
      <c r="G8" s="71">
        <f t="shared" si="1"/>
        <v>13.813705063524568</v>
      </c>
      <c r="H8" s="71">
        <f t="shared" si="2"/>
        <v>18.51875854358136</v>
      </c>
      <c r="I8" s="71">
        <f t="shared" si="3"/>
        <v>-10.489551344726888</v>
      </c>
    </row>
    <row r="9" spans="1:12" x14ac:dyDescent="0.25">
      <c r="A9" s="62" t="s">
        <v>340</v>
      </c>
      <c r="B9" s="4">
        <v>1690.4714973099899</v>
      </c>
      <c r="C9" s="72">
        <f t="shared" si="4"/>
        <v>16.672073119259586</v>
      </c>
      <c r="D9" s="4">
        <v>1226.39610244</v>
      </c>
      <c r="E9" s="72">
        <f t="shared" si="0"/>
        <v>11.445206373969235</v>
      </c>
      <c r="F9" s="4">
        <v>1463.57043157</v>
      </c>
      <c r="G9" s="71">
        <f t="shared" si="1"/>
        <v>12.796186939682771</v>
      </c>
      <c r="H9" s="71">
        <f t="shared" si="2"/>
        <v>19.339129393686516</v>
      </c>
      <c r="I9" s="71">
        <f t="shared" si="3"/>
        <v>-13.422353828565148</v>
      </c>
    </row>
    <row r="10" spans="1:12" x14ac:dyDescent="0.25">
      <c r="A10" s="62" t="s">
        <v>338</v>
      </c>
      <c r="B10" s="4">
        <v>34.290235880000004</v>
      </c>
      <c r="C10" s="73">
        <f t="shared" si="4"/>
        <v>0.33818335344768324</v>
      </c>
      <c r="D10" s="4">
        <v>39.766121119999994</v>
      </c>
      <c r="E10" s="73">
        <f t="shared" si="0"/>
        <v>0.37111293977952231</v>
      </c>
      <c r="F10" s="4">
        <v>17.131263969999999</v>
      </c>
      <c r="G10" s="71">
        <f t="shared" si="1"/>
        <v>0.14978087254606259</v>
      </c>
      <c r="H10" s="71">
        <f t="shared" si="2"/>
        <v>-56.919952242000306</v>
      </c>
      <c r="I10" s="71">
        <f t="shared" si="3"/>
        <v>-50.040402084279869</v>
      </c>
    </row>
    <row r="11" spans="1:12" x14ac:dyDescent="0.25">
      <c r="A11" s="62" t="s">
        <v>337</v>
      </c>
      <c r="B11" s="4">
        <v>2.9881053900000003</v>
      </c>
      <c r="C11" s="72">
        <f t="shared" si="4"/>
        <v>2.9469832309747805E-2</v>
      </c>
      <c r="D11" s="4">
        <v>141.55728550999999</v>
      </c>
      <c r="E11" s="72">
        <f t="shared" si="0"/>
        <v>1.3210677554971264</v>
      </c>
      <c r="F11" s="4">
        <v>14.774829820000001</v>
      </c>
      <c r="G11" s="71">
        <f t="shared" si="1"/>
        <v>0.12917826180453079</v>
      </c>
      <c r="H11" s="71">
        <f t="shared" si="2"/>
        <v>-89.562649660333975</v>
      </c>
      <c r="I11" s="71" t="s">
        <v>240</v>
      </c>
    </row>
    <row r="12" spans="1:12" x14ac:dyDescent="0.25">
      <c r="A12" s="314" t="s">
        <v>336</v>
      </c>
      <c r="B12" s="4">
        <v>4.0554391499999998</v>
      </c>
      <c r="C12" s="70">
        <f t="shared" si="4"/>
        <v>3.9996283964029176E-2</v>
      </c>
      <c r="D12" s="4">
        <v>3.6718764700000004</v>
      </c>
      <c r="E12" s="70">
        <f t="shared" si="0"/>
        <v>3.4267382206498574E-2</v>
      </c>
      <c r="F12" s="4">
        <v>7.5520235900000001</v>
      </c>
      <c r="G12" s="69">
        <f t="shared" si="1"/>
        <v>6.6028326034757154E-2</v>
      </c>
      <c r="H12" s="69">
        <f t="shared" si="2"/>
        <v>105.67204947393014</v>
      </c>
      <c r="I12" s="69">
        <f>((F12/B12)-1)*100</f>
        <v>86.219625314807161</v>
      </c>
    </row>
    <row r="13" spans="1:12" s="66" customFormat="1" ht="13" x14ac:dyDescent="0.3">
      <c r="A13" s="313" t="s">
        <v>217</v>
      </c>
      <c r="B13" s="42">
        <v>10139.53984737001</v>
      </c>
      <c r="C13" s="42">
        <v>100</v>
      </c>
      <c r="D13" s="42">
        <v>10715.369058169999</v>
      </c>
      <c r="E13" s="42">
        <v>100</v>
      </c>
      <c r="F13" s="42">
        <v>11437.55118981001</v>
      </c>
      <c r="G13" s="42">
        <v>100</v>
      </c>
      <c r="H13" s="138">
        <v>-3.8007003198006317</v>
      </c>
      <c r="I13" s="139">
        <v>-16.013552205807358</v>
      </c>
    </row>
    <row r="15" spans="1:12" ht="13" x14ac:dyDescent="0.3">
      <c r="B15" s="66"/>
      <c r="C15" s="66"/>
      <c r="D15" s="66"/>
      <c r="G15" s="68"/>
    </row>
    <row r="16" spans="1:12" x14ac:dyDescent="0.25">
      <c r="G16" s="68"/>
    </row>
    <row r="230" spans="1:9" s="66" customFormat="1" ht="13" x14ac:dyDescent="0.3">
      <c r="A230" s="4"/>
      <c r="B230" s="4"/>
      <c r="C230" s="4"/>
      <c r="D230" s="4"/>
      <c r="E230" s="4"/>
      <c r="F230" s="4"/>
      <c r="G230" s="4"/>
      <c r="H230" s="4"/>
      <c r="I230" s="4"/>
    </row>
    <row r="231" spans="1:9" ht="13" x14ac:dyDescent="0.3">
      <c r="A231" s="66"/>
      <c r="B231" s="66"/>
      <c r="C231" s="66"/>
      <c r="D231" s="66"/>
      <c r="E231" s="66"/>
      <c r="F231" s="66"/>
      <c r="G231" s="66"/>
      <c r="H231" s="66"/>
      <c r="I231" s="66"/>
    </row>
    <row r="237" spans="1:9" ht="13" x14ac:dyDescent="0.3">
      <c r="B237" s="65"/>
      <c r="C237" s="65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Z228"/>
  <sheetViews>
    <sheetView zoomScaleNormal="100" workbookViewId="0">
      <selection activeCell="L1" sqref="L1:M1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4" width="9.1796875" style="20"/>
    <col min="15" max="15" width="9.1796875" style="315"/>
    <col min="16" max="16384" width="9.1796875" style="20"/>
  </cols>
  <sheetData>
    <row r="1" spans="1:26" ht="13" x14ac:dyDescent="0.3">
      <c r="A1" s="317" t="s">
        <v>360</v>
      </c>
      <c r="L1" s="613" t="s">
        <v>239</v>
      </c>
      <c r="M1" s="613"/>
    </row>
    <row r="2" spans="1:26" ht="13" x14ac:dyDescent="0.3">
      <c r="A2" s="79" t="s">
        <v>359</v>
      </c>
      <c r="B2" s="44" t="s">
        <v>336</v>
      </c>
      <c r="C2" s="44" t="s">
        <v>340</v>
      </c>
      <c r="D2" s="44" t="s">
        <v>337</v>
      </c>
      <c r="E2" s="44" t="s">
        <v>344</v>
      </c>
      <c r="F2" s="44" t="s">
        <v>338</v>
      </c>
      <c r="G2" s="44" t="s">
        <v>358</v>
      </c>
      <c r="H2" s="44" t="s">
        <v>342</v>
      </c>
      <c r="I2" s="44" t="s">
        <v>343</v>
      </c>
      <c r="J2" s="78" t="s">
        <v>341</v>
      </c>
      <c r="K2" s="35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56" t="s">
        <v>8</v>
      </c>
      <c r="B3" s="45">
        <v>0</v>
      </c>
      <c r="C3" s="45">
        <v>447.31226039999996</v>
      </c>
      <c r="D3" s="45">
        <v>0</v>
      </c>
      <c r="E3" s="45">
        <v>108.47677751000001</v>
      </c>
      <c r="F3" s="45">
        <v>0</v>
      </c>
      <c r="G3" s="45">
        <v>0</v>
      </c>
      <c r="H3" s="45">
        <v>680.40038511</v>
      </c>
      <c r="I3" s="45">
        <v>710.33334925000099</v>
      </c>
      <c r="J3" s="45">
        <v>497.30194575999997</v>
      </c>
      <c r="K3" s="35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21" t="s">
        <v>46</v>
      </c>
      <c r="B4" s="46">
        <v>0</v>
      </c>
      <c r="C4" s="46">
        <v>178.65173816000001</v>
      </c>
      <c r="D4" s="46">
        <v>0</v>
      </c>
      <c r="E4" s="46">
        <v>0</v>
      </c>
      <c r="F4" s="46">
        <v>0</v>
      </c>
      <c r="G4" s="46">
        <v>0</v>
      </c>
      <c r="H4" s="46">
        <v>0</v>
      </c>
      <c r="I4" s="46">
        <v>0</v>
      </c>
      <c r="J4" s="46">
        <v>178.65173816000001</v>
      </c>
      <c r="K4" s="35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21" t="s">
        <v>85</v>
      </c>
      <c r="B5" s="46">
        <v>0</v>
      </c>
      <c r="C5" s="46">
        <v>152.40648386000001</v>
      </c>
      <c r="D5" s="46">
        <v>0</v>
      </c>
      <c r="E5" s="46">
        <v>0.35318790999999999</v>
      </c>
      <c r="F5" s="46">
        <v>0</v>
      </c>
      <c r="G5" s="46">
        <v>0</v>
      </c>
      <c r="H5" s="46">
        <v>0</v>
      </c>
      <c r="I5" s="46">
        <v>0</v>
      </c>
      <c r="J5" s="46">
        <v>152.45562036000001</v>
      </c>
      <c r="K5" s="35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21" t="s">
        <v>62</v>
      </c>
      <c r="B6" s="46">
        <v>0</v>
      </c>
      <c r="C6" s="46">
        <v>140.61140513000001</v>
      </c>
      <c r="D6" s="46">
        <v>0</v>
      </c>
      <c r="E6" s="46">
        <v>228.47295887999999</v>
      </c>
      <c r="F6" s="46">
        <v>0.40134603999999996</v>
      </c>
      <c r="G6" s="46">
        <v>0.17212910999999997</v>
      </c>
      <c r="H6" s="46">
        <v>9.8042522999999999</v>
      </c>
      <c r="I6" s="46">
        <v>10.55476466</v>
      </c>
      <c r="J6" s="46">
        <v>141.20984849999999</v>
      </c>
      <c r="K6" s="35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21" t="s">
        <v>96</v>
      </c>
      <c r="B7" s="46">
        <v>0</v>
      </c>
      <c r="C7" s="46">
        <v>113.05950870999999</v>
      </c>
      <c r="D7" s="46">
        <v>0</v>
      </c>
      <c r="E7" s="46">
        <v>4.15E-3</v>
      </c>
      <c r="F7" s="46">
        <v>0</v>
      </c>
      <c r="G7" s="46">
        <v>5.8620399999999998E-3</v>
      </c>
      <c r="H7" s="46">
        <v>1.42376E-2</v>
      </c>
      <c r="I7" s="46">
        <v>1.42586E-2</v>
      </c>
      <c r="J7" s="46">
        <v>115.73204854000001</v>
      </c>
      <c r="K7" s="35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21" t="s">
        <v>101</v>
      </c>
      <c r="B8" s="46">
        <v>0</v>
      </c>
      <c r="C8" s="46">
        <v>71.731853200000003</v>
      </c>
      <c r="D8" s="46">
        <v>0</v>
      </c>
      <c r="E8" s="46">
        <v>1.0412162600000001</v>
      </c>
      <c r="F8" s="46">
        <v>0</v>
      </c>
      <c r="G8" s="46">
        <v>2.0756519</v>
      </c>
      <c r="H8" s="46">
        <v>0</v>
      </c>
      <c r="I8" s="46">
        <v>0</v>
      </c>
      <c r="J8" s="46">
        <v>71.775777719999994</v>
      </c>
      <c r="K8" s="35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21" t="s">
        <v>127</v>
      </c>
      <c r="B9" s="46">
        <v>0</v>
      </c>
      <c r="C9" s="46">
        <v>52.9432586</v>
      </c>
      <c r="D9" s="46">
        <v>0</v>
      </c>
      <c r="E9" s="46">
        <v>0.1902546</v>
      </c>
      <c r="F9" s="46">
        <v>7.7086740000000001E-2</v>
      </c>
      <c r="G9" s="46">
        <v>0</v>
      </c>
      <c r="H9" s="46">
        <v>3.6915100000000003E-3</v>
      </c>
      <c r="I9" s="46">
        <v>8.6898649999999994E-2</v>
      </c>
      <c r="J9" s="46">
        <v>53.115440920000005</v>
      </c>
      <c r="K9" s="35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21" t="s">
        <v>125</v>
      </c>
      <c r="B10" s="46">
        <v>0</v>
      </c>
      <c r="C10" s="46">
        <v>41.66049872</v>
      </c>
      <c r="D10" s="46">
        <v>0</v>
      </c>
      <c r="E10" s="46">
        <v>0</v>
      </c>
      <c r="F10" s="46">
        <v>1.7405759999999999E-2</v>
      </c>
      <c r="G10" s="46">
        <v>0</v>
      </c>
      <c r="H10" s="46">
        <v>0</v>
      </c>
      <c r="I10" s="46">
        <v>1.7405759999999999E-2</v>
      </c>
      <c r="J10" s="46">
        <v>41.72637872</v>
      </c>
      <c r="K10" s="35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21" t="s">
        <v>2</v>
      </c>
      <c r="B11" s="46">
        <v>0</v>
      </c>
      <c r="C11" s="46">
        <v>40.831034439999996</v>
      </c>
      <c r="D11" s="46">
        <v>0</v>
      </c>
      <c r="E11" s="46">
        <v>0.92413838000000004</v>
      </c>
      <c r="F11" s="46">
        <v>0</v>
      </c>
      <c r="G11" s="46">
        <v>5.0000000000000002E-5</v>
      </c>
      <c r="H11" s="46">
        <v>0</v>
      </c>
      <c r="I11" s="46">
        <v>0</v>
      </c>
      <c r="J11" s="46">
        <v>40.831034439999996</v>
      </c>
      <c r="K11" s="35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21" t="s">
        <v>138</v>
      </c>
      <c r="B12" s="46">
        <v>2.8945709999999999E-2</v>
      </c>
      <c r="C12" s="46">
        <v>34.585021079999997</v>
      </c>
      <c r="D12" s="46">
        <v>0</v>
      </c>
      <c r="E12" s="46">
        <v>5.2591420300000005</v>
      </c>
      <c r="F12" s="46">
        <v>0.12767433</v>
      </c>
      <c r="G12" s="46">
        <v>0.35373724000000001</v>
      </c>
      <c r="H12" s="46">
        <v>0.52303237999999996</v>
      </c>
      <c r="I12" s="46">
        <v>0.99230406000000004</v>
      </c>
      <c r="J12" s="46">
        <v>37.974599479999995</v>
      </c>
      <c r="K12" s="35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21" t="s">
        <v>30</v>
      </c>
      <c r="B13" s="46">
        <v>5.4057000000000004</v>
      </c>
      <c r="C13" s="46">
        <v>31.876184110000001</v>
      </c>
      <c r="D13" s="46">
        <v>0</v>
      </c>
      <c r="E13" s="46">
        <v>53.083355929999996</v>
      </c>
      <c r="F13" s="46">
        <v>0</v>
      </c>
      <c r="G13" s="46">
        <v>0</v>
      </c>
      <c r="H13" s="46">
        <v>9.9377999999999988E-4</v>
      </c>
      <c r="I13" s="46">
        <v>0.15751878</v>
      </c>
      <c r="J13" s="46">
        <v>29.25632611</v>
      </c>
      <c r="K13" s="35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21" t="s">
        <v>179</v>
      </c>
      <c r="B14" s="46">
        <v>0</v>
      </c>
      <c r="C14" s="46">
        <v>25.859536089999999</v>
      </c>
      <c r="D14" s="46">
        <v>0</v>
      </c>
      <c r="E14" s="46">
        <v>0.12</v>
      </c>
      <c r="F14" s="46">
        <v>0</v>
      </c>
      <c r="G14" s="46">
        <v>0</v>
      </c>
      <c r="H14" s="46">
        <v>0</v>
      </c>
      <c r="I14" s="46">
        <v>0</v>
      </c>
      <c r="J14" s="46">
        <v>27.491029090000001</v>
      </c>
      <c r="K14" s="35"/>
      <c r="R14" s="18"/>
      <c r="S14" s="18"/>
      <c r="T14" s="18"/>
      <c r="U14" s="18"/>
      <c r="V14" s="18"/>
      <c r="W14" s="18"/>
      <c r="X14" s="18"/>
      <c r="Y14" s="18"/>
      <c r="Z14" s="18"/>
    </row>
    <row r="15" spans="1:26" x14ac:dyDescent="0.25">
      <c r="A15" s="21" t="s">
        <v>84</v>
      </c>
      <c r="B15" s="46">
        <v>0</v>
      </c>
      <c r="C15" s="46">
        <v>23.975617370000002</v>
      </c>
      <c r="D15" s="46">
        <v>0</v>
      </c>
      <c r="E15" s="46">
        <v>9.8189999999999996E-3</v>
      </c>
      <c r="F15" s="46">
        <v>6.2521000000000007E-4</v>
      </c>
      <c r="G15" s="46">
        <v>1.2619669999999999E-2</v>
      </c>
      <c r="H15" s="46">
        <v>5.0828539999999998E-2</v>
      </c>
      <c r="I15" s="46">
        <v>5.189175E-2</v>
      </c>
      <c r="J15" s="46">
        <v>24.106914629999999</v>
      </c>
      <c r="K15" s="35"/>
      <c r="R15" s="18"/>
      <c r="S15" s="18"/>
      <c r="T15" s="18"/>
      <c r="U15" s="18"/>
      <c r="V15" s="18"/>
      <c r="W15" s="18"/>
      <c r="X15" s="18"/>
      <c r="Y15" s="18"/>
      <c r="Z15" s="18"/>
    </row>
    <row r="16" spans="1:26" x14ac:dyDescent="0.25">
      <c r="A16" s="21" t="s">
        <v>48</v>
      </c>
      <c r="B16" s="46">
        <v>0</v>
      </c>
      <c r="C16" s="46">
        <v>22.314397070000002</v>
      </c>
      <c r="D16" s="46">
        <v>0</v>
      </c>
      <c r="E16" s="46">
        <v>17.910354940000001</v>
      </c>
      <c r="F16" s="46">
        <v>0</v>
      </c>
      <c r="G16" s="46">
        <v>8.2597155799999999</v>
      </c>
      <c r="H16" s="46">
        <v>0.12385</v>
      </c>
      <c r="I16" s="46">
        <v>0.141486</v>
      </c>
      <c r="J16" s="46">
        <v>23.376842109999998</v>
      </c>
      <c r="K16" s="35"/>
      <c r="R16" s="18"/>
      <c r="S16" s="18"/>
      <c r="T16" s="18"/>
      <c r="U16" s="18"/>
      <c r="V16" s="18"/>
      <c r="W16" s="18"/>
      <c r="X16" s="18"/>
      <c r="Y16" s="18"/>
      <c r="Z16" s="18"/>
    </row>
    <row r="17" spans="1:26" x14ac:dyDescent="0.25">
      <c r="A17" s="21" t="s">
        <v>133</v>
      </c>
      <c r="B17" s="46">
        <v>0</v>
      </c>
      <c r="C17" s="46">
        <v>0</v>
      </c>
      <c r="D17" s="46">
        <v>0</v>
      </c>
      <c r="E17" s="46">
        <v>4.7653330000000001E-2</v>
      </c>
      <c r="F17" s="46">
        <v>1.5675368000000001</v>
      </c>
      <c r="G17" s="46">
        <v>0</v>
      </c>
      <c r="H17" s="46">
        <v>0</v>
      </c>
      <c r="I17" s="46">
        <v>1.5675368000000001</v>
      </c>
      <c r="J17" s="46">
        <v>16.16158974</v>
      </c>
      <c r="K17" s="35"/>
      <c r="R17" s="18"/>
      <c r="S17" s="18"/>
      <c r="T17" s="18"/>
      <c r="U17" s="18"/>
      <c r="V17" s="18"/>
      <c r="W17" s="18"/>
      <c r="X17" s="18"/>
      <c r="Y17" s="18"/>
      <c r="Z17" s="18"/>
    </row>
    <row r="18" spans="1:26" x14ac:dyDescent="0.25">
      <c r="A18" s="21" t="s">
        <v>88</v>
      </c>
      <c r="B18" s="46">
        <v>0</v>
      </c>
      <c r="C18" s="46">
        <v>14.33782104</v>
      </c>
      <c r="D18" s="46">
        <v>0</v>
      </c>
      <c r="E18" s="46">
        <v>0</v>
      </c>
      <c r="F18" s="46">
        <v>5.5691999999999992E-4</v>
      </c>
      <c r="G18" s="46">
        <v>0</v>
      </c>
      <c r="H18" s="46">
        <v>0</v>
      </c>
      <c r="I18" s="46">
        <v>7.1491999999999997E-4</v>
      </c>
      <c r="J18" s="46">
        <v>14.65607638</v>
      </c>
      <c r="K18" s="35"/>
      <c r="R18" s="18"/>
      <c r="S18" s="18"/>
      <c r="T18" s="18"/>
      <c r="U18" s="18"/>
      <c r="V18" s="18"/>
      <c r="W18" s="18"/>
      <c r="X18" s="18"/>
      <c r="Y18" s="18"/>
      <c r="Z18" s="18"/>
    </row>
    <row r="19" spans="1:26" x14ac:dyDescent="0.25">
      <c r="A19" s="21" t="s">
        <v>177</v>
      </c>
      <c r="B19" s="46">
        <v>0</v>
      </c>
      <c r="C19" s="46">
        <v>13.678367359999999</v>
      </c>
      <c r="D19" s="46">
        <v>0</v>
      </c>
      <c r="E19" s="46">
        <v>6.4685406399999996</v>
      </c>
      <c r="F19" s="46">
        <v>0</v>
      </c>
      <c r="G19" s="46">
        <v>0</v>
      </c>
      <c r="H19" s="46">
        <v>7.3499999999999998E-4</v>
      </c>
      <c r="I19" s="46">
        <v>7.3499999999999998E-4</v>
      </c>
      <c r="J19" s="46">
        <v>13.683727470000001</v>
      </c>
      <c r="K19" s="35"/>
      <c r="R19" s="18"/>
      <c r="S19" s="18"/>
      <c r="T19" s="18"/>
      <c r="U19" s="18"/>
      <c r="V19" s="18"/>
      <c r="W19" s="18"/>
      <c r="X19" s="18"/>
      <c r="Y19" s="18"/>
      <c r="Z19" s="18"/>
    </row>
    <row r="20" spans="1:26" x14ac:dyDescent="0.25">
      <c r="A20" s="21" t="s">
        <v>15</v>
      </c>
      <c r="B20" s="46">
        <v>0</v>
      </c>
      <c r="C20" s="46">
        <v>10.97240691</v>
      </c>
      <c r="D20" s="46">
        <v>0</v>
      </c>
      <c r="E20" s="46">
        <v>8.3443749</v>
      </c>
      <c r="F20" s="46">
        <v>2.0509999999999999E-3</v>
      </c>
      <c r="G20" s="46">
        <v>0</v>
      </c>
      <c r="H20" s="46">
        <v>7.5900000000000002E-5</v>
      </c>
      <c r="I20" s="46">
        <v>2.1769000000000003E-3</v>
      </c>
      <c r="J20" s="46">
        <v>11.64902281</v>
      </c>
      <c r="K20" s="35"/>
      <c r="R20" s="18"/>
      <c r="S20" s="18"/>
      <c r="T20" s="18"/>
      <c r="U20" s="18"/>
      <c r="V20" s="18"/>
      <c r="W20" s="18"/>
      <c r="X20" s="18"/>
      <c r="Y20" s="18"/>
      <c r="Z20" s="18"/>
    </row>
    <row r="21" spans="1:26" x14ac:dyDescent="0.25">
      <c r="A21" s="21" t="s">
        <v>68</v>
      </c>
      <c r="B21" s="46">
        <v>0</v>
      </c>
      <c r="C21" s="46">
        <v>9.1882782899999995</v>
      </c>
      <c r="D21" s="46">
        <v>0</v>
      </c>
      <c r="E21" s="46">
        <v>5.7799999999999995E-4</v>
      </c>
      <c r="F21" s="46">
        <v>0</v>
      </c>
      <c r="G21" s="46">
        <v>0</v>
      </c>
      <c r="H21" s="46">
        <v>0</v>
      </c>
      <c r="I21" s="46">
        <v>0</v>
      </c>
      <c r="J21" s="46">
        <v>9.1927782899999997</v>
      </c>
      <c r="K21" s="35"/>
      <c r="R21" s="18"/>
      <c r="S21" s="18"/>
      <c r="T21" s="18"/>
      <c r="U21" s="18"/>
      <c r="V21" s="18"/>
      <c r="W21" s="18"/>
      <c r="X21" s="18"/>
      <c r="Y21" s="18"/>
      <c r="Z21" s="18"/>
    </row>
    <row r="22" spans="1:26" x14ac:dyDescent="0.25">
      <c r="A22" s="21" t="s">
        <v>140</v>
      </c>
      <c r="B22" s="46">
        <v>0</v>
      </c>
      <c r="C22" s="46">
        <v>0</v>
      </c>
      <c r="D22" s="46">
        <v>0</v>
      </c>
      <c r="E22" s="46">
        <v>3.8058190000000001</v>
      </c>
      <c r="F22" s="46">
        <v>0</v>
      </c>
      <c r="G22" s="46">
        <v>0.25003751000000002</v>
      </c>
      <c r="H22" s="46">
        <v>2.09334402</v>
      </c>
      <c r="I22" s="46">
        <v>3.670029</v>
      </c>
      <c r="J22" s="46">
        <v>8.9238627799999986</v>
      </c>
      <c r="K22" s="35"/>
      <c r="R22" s="18"/>
      <c r="S22" s="18"/>
      <c r="T22" s="18"/>
      <c r="U22" s="18"/>
      <c r="V22" s="18"/>
      <c r="W22" s="18"/>
      <c r="X22" s="18"/>
      <c r="Y22" s="18"/>
      <c r="Z22" s="18"/>
    </row>
    <row r="23" spans="1:26" x14ac:dyDescent="0.25">
      <c r="A23" s="21" t="s">
        <v>63</v>
      </c>
      <c r="B23" s="46">
        <v>0</v>
      </c>
      <c r="C23" s="46">
        <v>7.3836177000000003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7.63869372</v>
      </c>
      <c r="K23" s="35"/>
      <c r="R23" s="18"/>
      <c r="S23" s="18"/>
      <c r="T23" s="18"/>
      <c r="U23" s="18"/>
      <c r="V23" s="18"/>
      <c r="W23" s="18"/>
      <c r="X23" s="18"/>
      <c r="Y23" s="18"/>
      <c r="Z23" s="18"/>
    </row>
    <row r="24" spans="1:26" x14ac:dyDescent="0.25">
      <c r="A24" s="21" t="s">
        <v>58</v>
      </c>
      <c r="B24" s="46">
        <v>0</v>
      </c>
      <c r="C24" s="46">
        <v>0</v>
      </c>
      <c r="D24" s="46">
        <v>0</v>
      </c>
      <c r="E24" s="46">
        <v>2.0404179999999998</v>
      </c>
      <c r="F24" s="46">
        <v>0</v>
      </c>
      <c r="G24" s="46">
        <v>0.29381039000000003</v>
      </c>
      <c r="H24" s="46">
        <v>2.7680240199999999</v>
      </c>
      <c r="I24" s="46">
        <v>2.76817877</v>
      </c>
      <c r="J24" s="46">
        <v>4.7246409099999997</v>
      </c>
      <c r="K24" s="35"/>
      <c r="R24" s="18"/>
      <c r="S24" s="18"/>
      <c r="T24" s="18"/>
      <c r="U24" s="18"/>
      <c r="V24" s="18"/>
      <c r="W24" s="18"/>
      <c r="X24" s="18"/>
      <c r="Y24" s="18"/>
      <c r="Z24" s="18"/>
    </row>
    <row r="25" spans="1:26" x14ac:dyDescent="0.25">
      <c r="A25" s="21" t="s">
        <v>27</v>
      </c>
      <c r="B25" s="46">
        <v>0</v>
      </c>
      <c r="C25" s="46">
        <v>0.93747499999999995</v>
      </c>
      <c r="D25" s="46">
        <v>0</v>
      </c>
      <c r="E25" s="46">
        <v>7.5528639999999996</v>
      </c>
      <c r="F25" s="46">
        <v>0</v>
      </c>
      <c r="G25" s="46">
        <v>6.5442361699999996</v>
      </c>
      <c r="H25" s="46">
        <v>0</v>
      </c>
      <c r="I25" s="46">
        <v>3.1517364300000001</v>
      </c>
      <c r="J25" s="46">
        <v>3.6971562200000001</v>
      </c>
      <c r="K25" s="35"/>
      <c r="R25" s="18"/>
      <c r="S25" s="18"/>
      <c r="T25" s="18"/>
      <c r="U25" s="18"/>
      <c r="V25" s="18"/>
      <c r="W25" s="18"/>
      <c r="X25" s="18"/>
      <c r="Y25" s="18"/>
      <c r="Z25" s="18"/>
    </row>
    <row r="26" spans="1:26" x14ac:dyDescent="0.25">
      <c r="A26" s="21" t="s">
        <v>115</v>
      </c>
      <c r="B26" s="46">
        <v>0</v>
      </c>
      <c r="C26" s="46">
        <v>3.56740294</v>
      </c>
      <c r="D26" s="46">
        <v>0</v>
      </c>
      <c r="E26" s="46">
        <v>19.58733659</v>
      </c>
      <c r="F26" s="46">
        <v>0</v>
      </c>
      <c r="G26" s="46">
        <v>3.2300045399999999</v>
      </c>
      <c r="H26" s="46">
        <v>0</v>
      </c>
      <c r="I26" s="46">
        <v>3.7039968700000001</v>
      </c>
      <c r="J26" s="46">
        <v>3.6800554399999998</v>
      </c>
      <c r="K26" s="35"/>
      <c r="R26" s="18"/>
      <c r="S26" s="18"/>
      <c r="T26" s="18"/>
      <c r="U26" s="18"/>
      <c r="V26" s="18"/>
      <c r="W26" s="18"/>
      <c r="X26" s="18"/>
      <c r="Y26" s="18"/>
      <c r="Z26" s="18"/>
    </row>
    <row r="27" spans="1:26" x14ac:dyDescent="0.25">
      <c r="A27" s="21" t="s">
        <v>162</v>
      </c>
      <c r="B27" s="46">
        <v>0.25660083</v>
      </c>
      <c r="C27" s="46">
        <v>0.39410448999999997</v>
      </c>
      <c r="D27" s="46">
        <v>0</v>
      </c>
      <c r="E27" s="46">
        <v>6.5363000000000004E-2</v>
      </c>
      <c r="F27" s="46">
        <v>0</v>
      </c>
      <c r="G27" s="46">
        <v>0.32115999000000001</v>
      </c>
      <c r="H27" s="46">
        <v>0</v>
      </c>
      <c r="I27" s="46">
        <v>0.11044704</v>
      </c>
      <c r="J27" s="46">
        <v>3.4912753599999999</v>
      </c>
      <c r="K27" s="35"/>
      <c r="R27" s="18"/>
      <c r="S27" s="18"/>
      <c r="T27" s="18"/>
      <c r="U27" s="18"/>
      <c r="V27" s="18"/>
      <c r="W27" s="18"/>
      <c r="X27" s="18"/>
      <c r="Y27" s="18"/>
      <c r="Z27" s="18"/>
    </row>
    <row r="28" spans="1:26" x14ac:dyDescent="0.25">
      <c r="A28" s="21" t="s">
        <v>97</v>
      </c>
      <c r="B28" s="46">
        <v>0</v>
      </c>
      <c r="C28" s="46">
        <v>3.4775071800000004</v>
      </c>
      <c r="D28" s="46">
        <v>0</v>
      </c>
      <c r="E28" s="46">
        <v>6.1421265499999995</v>
      </c>
      <c r="F28" s="46">
        <v>0</v>
      </c>
      <c r="G28" s="46">
        <v>6.2816E-3</v>
      </c>
      <c r="H28" s="46">
        <v>8.8149480000000002E-2</v>
      </c>
      <c r="I28" s="46">
        <v>0.14853480999999999</v>
      </c>
      <c r="J28" s="46">
        <v>3.4775071800000004</v>
      </c>
      <c r="K28" s="35"/>
      <c r="R28" s="18"/>
      <c r="S28" s="18"/>
      <c r="T28" s="18"/>
      <c r="U28" s="18"/>
      <c r="V28" s="18"/>
      <c r="W28" s="18"/>
      <c r="X28" s="18"/>
      <c r="Y28" s="18"/>
      <c r="Z28" s="18"/>
    </row>
    <row r="29" spans="1:26" x14ac:dyDescent="0.25">
      <c r="A29" s="21" t="s">
        <v>188</v>
      </c>
      <c r="B29" s="46">
        <v>0</v>
      </c>
      <c r="C29" s="46">
        <v>3.2649515</v>
      </c>
      <c r="D29" s="46">
        <v>0</v>
      </c>
      <c r="E29" s="46">
        <v>0.86578479000000008</v>
      </c>
      <c r="F29" s="46">
        <v>0</v>
      </c>
      <c r="G29" s="46">
        <v>0</v>
      </c>
      <c r="H29" s="46">
        <v>0</v>
      </c>
      <c r="I29" s="46">
        <v>0</v>
      </c>
      <c r="J29" s="46">
        <v>3.4261161499999999</v>
      </c>
      <c r="K29" s="35"/>
      <c r="R29" s="18"/>
      <c r="S29" s="18"/>
      <c r="T29" s="18"/>
      <c r="U29" s="18"/>
      <c r="V29" s="18"/>
      <c r="W29" s="18"/>
      <c r="X29" s="18"/>
      <c r="Y29" s="18"/>
      <c r="Z29" s="18"/>
    </row>
    <row r="30" spans="1:26" x14ac:dyDescent="0.25">
      <c r="A30" s="21" t="s">
        <v>151</v>
      </c>
      <c r="B30" s="46">
        <v>0</v>
      </c>
      <c r="C30" s="46">
        <v>1.1040212199999999</v>
      </c>
      <c r="D30" s="46">
        <v>0</v>
      </c>
      <c r="E30" s="46">
        <v>0.24974786999999998</v>
      </c>
      <c r="F30" s="46">
        <v>0</v>
      </c>
      <c r="G30" s="46">
        <v>0</v>
      </c>
      <c r="H30" s="46">
        <v>9.7027199999999997E-3</v>
      </c>
      <c r="I30" s="46">
        <v>0.12921725000000001</v>
      </c>
      <c r="J30" s="46">
        <v>2.7740557999999997</v>
      </c>
      <c r="K30" s="35"/>
      <c r="R30" s="18"/>
      <c r="S30" s="18"/>
      <c r="T30" s="18"/>
      <c r="U30" s="18"/>
      <c r="V30" s="18"/>
      <c r="W30" s="18"/>
      <c r="X30" s="18"/>
      <c r="Y30" s="18"/>
      <c r="Z30" s="18"/>
    </row>
    <row r="31" spans="1:26" x14ac:dyDescent="0.25">
      <c r="A31" s="21" t="s">
        <v>202</v>
      </c>
      <c r="B31" s="46">
        <v>0</v>
      </c>
      <c r="C31" s="46">
        <v>0.17245880999999999</v>
      </c>
      <c r="D31" s="46">
        <v>0</v>
      </c>
      <c r="E31" s="46">
        <v>0.40115126000000001</v>
      </c>
      <c r="F31" s="46">
        <v>0</v>
      </c>
      <c r="G31" s="46">
        <v>1.1292E-4</v>
      </c>
      <c r="H31" s="46">
        <v>0</v>
      </c>
      <c r="I31" s="46">
        <v>0.80667079000000008</v>
      </c>
      <c r="J31" s="46">
        <v>2.76888823</v>
      </c>
      <c r="K31" s="35"/>
      <c r="R31" s="18"/>
      <c r="S31" s="18"/>
      <c r="T31" s="18"/>
      <c r="U31" s="18"/>
      <c r="V31" s="18"/>
      <c r="W31" s="18"/>
      <c r="X31" s="18"/>
      <c r="Y31" s="18"/>
      <c r="Z31" s="18"/>
    </row>
    <row r="32" spans="1:26" x14ac:dyDescent="0.25">
      <c r="A32" s="21" t="s">
        <v>189</v>
      </c>
      <c r="B32" s="46">
        <v>0</v>
      </c>
      <c r="C32" s="46">
        <v>0.42467442</v>
      </c>
      <c r="D32" s="46">
        <v>0</v>
      </c>
      <c r="E32" s="46">
        <v>0.1407785</v>
      </c>
      <c r="F32" s="46">
        <v>0</v>
      </c>
      <c r="G32" s="46">
        <v>0</v>
      </c>
      <c r="H32" s="46">
        <v>1.3759200000000001E-3</v>
      </c>
      <c r="I32" s="46">
        <v>1.3759200000000001E-3</v>
      </c>
      <c r="J32" s="46">
        <v>2.7612341300000001</v>
      </c>
      <c r="K32" s="35"/>
      <c r="R32" s="18"/>
      <c r="S32" s="18"/>
      <c r="T32" s="18"/>
      <c r="U32" s="18"/>
      <c r="V32" s="18"/>
      <c r="W32" s="18"/>
      <c r="X32" s="18"/>
      <c r="Y32" s="18"/>
      <c r="Z32" s="18"/>
    </row>
    <row r="33" spans="1:26" x14ac:dyDescent="0.25">
      <c r="A33" s="21" t="s">
        <v>113</v>
      </c>
      <c r="B33" s="46">
        <v>0</v>
      </c>
      <c r="C33" s="46">
        <v>2.4191935299999998</v>
      </c>
      <c r="D33" s="46">
        <v>0</v>
      </c>
      <c r="E33" s="46">
        <v>0.95890175</v>
      </c>
      <c r="F33" s="46">
        <v>7.8281800000000006E-3</v>
      </c>
      <c r="G33" s="46">
        <v>2.5999999999999998E-5</v>
      </c>
      <c r="H33" s="46">
        <v>6.4349999999999997E-4</v>
      </c>
      <c r="I33" s="46">
        <v>8.4716800000000005E-3</v>
      </c>
      <c r="J33" s="46">
        <v>2.49175842</v>
      </c>
      <c r="K33" s="35"/>
      <c r="R33" s="18"/>
      <c r="S33" s="18"/>
      <c r="T33" s="18"/>
      <c r="U33" s="18"/>
      <c r="V33" s="18"/>
      <c r="W33" s="18"/>
      <c r="X33" s="18"/>
      <c r="Y33" s="18"/>
      <c r="Z33" s="18"/>
    </row>
    <row r="34" spans="1:26" x14ac:dyDescent="0.25">
      <c r="A34" s="21" t="s">
        <v>0</v>
      </c>
      <c r="B34" s="46">
        <v>0</v>
      </c>
      <c r="C34" s="46">
        <v>1.9302999999999999</v>
      </c>
      <c r="D34" s="46">
        <v>0</v>
      </c>
      <c r="E34" s="46">
        <v>93.724643</v>
      </c>
      <c r="F34" s="46">
        <v>0</v>
      </c>
      <c r="G34" s="46">
        <v>0</v>
      </c>
      <c r="H34" s="46">
        <v>0</v>
      </c>
      <c r="I34" s="46">
        <v>0</v>
      </c>
      <c r="J34" s="46">
        <v>2.3125</v>
      </c>
      <c r="K34" s="35"/>
      <c r="R34" s="18"/>
      <c r="S34" s="18"/>
      <c r="T34" s="18"/>
      <c r="U34" s="18"/>
      <c r="V34" s="18"/>
      <c r="W34" s="18"/>
      <c r="X34" s="18"/>
      <c r="Y34" s="18"/>
      <c r="Z34" s="18"/>
    </row>
    <row r="35" spans="1:26" x14ac:dyDescent="0.25">
      <c r="A35" s="21" t="s">
        <v>176</v>
      </c>
      <c r="B35" s="46">
        <v>0</v>
      </c>
      <c r="C35" s="46">
        <v>1.37343594</v>
      </c>
      <c r="D35" s="46">
        <v>0</v>
      </c>
      <c r="E35" s="46">
        <v>9.2465259999999994E-2</v>
      </c>
      <c r="F35" s="46">
        <v>0</v>
      </c>
      <c r="G35" s="46">
        <v>0</v>
      </c>
      <c r="H35" s="46">
        <v>0</v>
      </c>
      <c r="I35" s="46">
        <v>2.3856799999999998E-3</v>
      </c>
      <c r="J35" s="46">
        <v>2.2658058100000003</v>
      </c>
      <c r="K35" s="35"/>
      <c r="R35" s="18"/>
      <c r="S35" s="18"/>
      <c r="T35" s="18"/>
      <c r="U35" s="18"/>
      <c r="V35" s="18"/>
      <c r="W35" s="18"/>
      <c r="X35" s="18"/>
      <c r="Y35" s="18"/>
      <c r="Z35" s="18"/>
    </row>
    <row r="36" spans="1:26" x14ac:dyDescent="0.25">
      <c r="A36" s="21" t="s">
        <v>55</v>
      </c>
      <c r="B36" s="46">
        <v>0</v>
      </c>
      <c r="C36" s="46">
        <v>0</v>
      </c>
      <c r="D36" s="46">
        <v>0</v>
      </c>
      <c r="E36" s="46">
        <v>34.982094229999994</v>
      </c>
      <c r="F36" s="46">
        <v>0</v>
      </c>
      <c r="G36" s="46">
        <v>3.2759362099999998</v>
      </c>
      <c r="H36" s="46">
        <v>0</v>
      </c>
      <c r="I36" s="46">
        <v>0</v>
      </c>
      <c r="J36" s="46">
        <v>1.7900796000000001</v>
      </c>
      <c r="K36" s="35"/>
      <c r="R36" s="18"/>
      <c r="S36" s="18"/>
      <c r="T36" s="18"/>
      <c r="U36" s="18"/>
      <c r="V36" s="18"/>
      <c r="W36" s="18"/>
      <c r="X36" s="18"/>
      <c r="Y36" s="18"/>
      <c r="Z36" s="18"/>
    </row>
    <row r="37" spans="1:26" x14ac:dyDescent="0.25">
      <c r="A37" s="21" t="s">
        <v>9</v>
      </c>
      <c r="B37" s="46">
        <v>0</v>
      </c>
      <c r="C37" s="46">
        <v>1.7815840300000001</v>
      </c>
      <c r="D37" s="46">
        <v>0</v>
      </c>
      <c r="E37" s="46">
        <v>2.9763397599999997</v>
      </c>
      <c r="F37" s="46">
        <v>0</v>
      </c>
      <c r="G37" s="46">
        <v>0</v>
      </c>
      <c r="H37" s="46">
        <v>3.1917969500000001</v>
      </c>
      <c r="I37" s="46">
        <v>3.1917969500000001</v>
      </c>
      <c r="J37" s="46">
        <v>1.7815840300000001</v>
      </c>
      <c r="K37" s="35"/>
      <c r="R37" s="18"/>
      <c r="S37" s="18"/>
      <c r="T37" s="18"/>
      <c r="U37" s="18"/>
      <c r="V37" s="18"/>
      <c r="W37" s="18"/>
      <c r="X37" s="18"/>
      <c r="Y37" s="18"/>
      <c r="Z37" s="18"/>
    </row>
    <row r="38" spans="1:26" x14ac:dyDescent="0.25">
      <c r="A38" s="21" t="s">
        <v>157</v>
      </c>
      <c r="B38" s="46">
        <v>0</v>
      </c>
      <c r="C38" s="46">
        <v>0</v>
      </c>
      <c r="D38" s="46">
        <v>0</v>
      </c>
      <c r="E38" s="46">
        <v>2.2058089999999999</v>
      </c>
      <c r="F38" s="46">
        <v>0</v>
      </c>
      <c r="G38" s="46">
        <v>3.3598989999999995E-2</v>
      </c>
      <c r="H38" s="46">
        <v>3.1287269999999999E-2</v>
      </c>
      <c r="I38" s="46">
        <v>3.1287269999999999E-2</v>
      </c>
      <c r="J38" s="46">
        <v>1.45409491</v>
      </c>
      <c r="K38" s="35"/>
      <c r="R38" s="18"/>
      <c r="S38" s="18"/>
      <c r="T38" s="18"/>
      <c r="U38" s="18"/>
      <c r="V38" s="18"/>
      <c r="W38" s="18"/>
      <c r="X38" s="18"/>
      <c r="Y38" s="18"/>
      <c r="Z38" s="18"/>
    </row>
    <row r="39" spans="1:26" x14ac:dyDescent="0.25">
      <c r="A39" s="21" t="s">
        <v>135</v>
      </c>
      <c r="B39" s="46">
        <v>0</v>
      </c>
      <c r="C39" s="46">
        <v>0.95470675999999999</v>
      </c>
      <c r="D39" s="46">
        <v>0</v>
      </c>
      <c r="E39" s="46">
        <v>0.54126721999999994</v>
      </c>
      <c r="F39" s="46">
        <v>5.6688999999999993E-3</v>
      </c>
      <c r="G39" s="46">
        <v>0</v>
      </c>
      <c r="H39" s="46">
        <v>2.4521999999999999E-2</v>
      </c>
      <c r="I39" s="46">
        <v>0.15254995000000002</v>
      </c>
      <c r="J39" s="46">
        <v>1.33433157</v>
      </c>
      <c r="K39" s="35"/>
      <c r="R39" s="18"/>
      <c r="S39" s="18"/>
      <c r="T39" s="18"/>
      <c r="U39" s="18"/>
      <c r="V39" s="18"/>
      <c r="W39" s="18"/>
      <c r="X39" s="18"/>
      <c r="Y39" s="18"/>
      <c r="Z39" s="18"/>
    </row>
    <row r="40" spans="1:26" x14ac:dyDescent="0.25">
      <c r="A40" s="21" t="s">
        <v>131</v>
      </c>
      <c r="B40" s="46">
        <v>0</v>
      </c>
      <c r="C40" s="46">
        <v>1.2159019499999999</v>
      </c>
      <c r="D40" s="46">
        <v>0</v>
      </c>
      <c r="E40" s="46">
        <v>1.2490842200000001</v>
      </c>
      <c r="F40" s="46">
        <v>0</v>
      </c>
      <c r="G40" s="46">
        <v>0</v>
      </c>
      <c r="H40" s="46">
        <v>0</v>
      </c>
      <c r="I40" s="46">
        <v>0</v>
      </c>
      <c r="J40" s="46">
        <v>1.2193331699999999</v>
      </c>
      <c r="K40" s="35"/>
      <c r="R40" s="18"/>
      <c r="S40" s="18"/>
      <c r="T40" s="18"/>
      <c r="U40" s="18"/>
      <c r="V40" s="18"/>
      <c r="W40" s="18"/>
      <c r="X40" s="18"/>
      <c r="Y40" s="18"/>
      <c r="Z40" s="18"/>
    </row>
    <row r="41" spans="1:26" x14ac:dyDescent="0.25">
      <c r="A41" s="21" t="s">
        <v>75</v>
      </c>
      <c r="B41" s="46">
        <v>0</v>
      </c>
      <c r="C41" s="46">
        <v>0</v>
      </c>
      <c r="D41" s="46">
        <v>0</v>
      </c>
      <c r="E41" s="46">
        <v>5.7778019999999999E-2</v>
      </c>
      <c r="F41" s="46">
        <v>0</v>
      </c>
      <c r="G41" s="46">
        <v>2.9999999999999997E-4</v>
      </c>
      <c r="H41" s="46">
        <v>3.1556099999999997E-2</v>
      </c>
      <c r="I41" s="46">
        <v>2.71395E-2</v>
      </c>
      <c r="J41" s="46">
        <v>1.06620683</v>
      </c>
      <c r="K41" s="35"/>
      <c r="R41" s="18"/>
      <c r="S41" s="18"/>
      <c r="T41" s="18"/>
      <c r="U41" s="18"/>
      <c r="V41" s="18"/>
      <c r="W41" s="18"/>
      <c r="X41" s="18"/>
      <c r="Y41" s="18"/>
      <c r="Z41" s="18"/>
    </row>
    <row r="42" spans="1:26" x14ac:dyDescent="0.25">
      <c r="A42" s="21" t="s">
        <v>155</v>
      </c>
      <c r="B42" s="46">
        <v>0</v>
      </c>
      <c r="C42" s="46">
        <v>1.0122988900000001</v>
      </c>
      <c r="D42" s="46">
        <v>0</v>
      </c>
      <c r="E42" s="46">
        <v>7.4660000000000004E-3</v>
      </c>
      <c r="F42" s="46">
        <v>0</v>
      </c>
      <c r="G42" s="46">
        <v>0</v>
      </c>
      <c r="H42" s="46">
        <v>1.2484E-3</v>
      </c>
      <c r="I42" s="46">
        <v>1.2484E-3</v>
      </c>
      <c r="J42" s="46">
        <v>1.0587628200000001</v>
      </c>
      <c r="K42" s="35"/>
      <c r="R42" s="18"/>
      <c r="S42" s="18"/>
      <c r="T42" s="18"/>
      <c r="U42" s="18"/>
      <c r="V42" s="18"/>
      <c r="W42" s="18"/>
      <c r="X42" s="18"/>
      <c r="Y42" s="18"/>
      <c r="Z42" s="18"/>
    </row>
    <row r="43" spans="1:26" x14ac:dyDescent="0.25">
      <c r="A43" s="21" t="s">
        <v>163</v>
      </c>
      <c r="B43" s="46">
        <v>0</v>
      </c>
      <c r="C43" s="46">
        <v>0</v>
      </c>
      <c r="D43" s="46">
        <v>0</v>
      </c>
      <c r="E43" s="46">
        <v>0.430284</v>
      </c>
      <c r="F43" s="46">
        <v>0</v>
      </c>
      <c r="G43" s="46">
        <v>0.47740294</v>
      </c>
      <c r="H43" s="46">
        <v>0</v>
      </c>
      <c r="I43" s="46">
        <v>0</v>
      </c>
      <c r="J43" s="46">
        <v>0.80301309999999992</v>
      </c>
      <c r="K43" s="35"/>
      <c r="R43" s="18"/>
      <c r="S43" s="18"/>
      <c r="T43" s="18"/>
      <c r="U43" s="18"/>
      <c r="V43" s="18"/>
      <c r="W43" s="18"/>
      <c r="X43" s="18"/>
      <c r="Y43" s="18"/>
      <c r="Z43" s="18"/>
    </row>
    <row r="44" spans="1:26" x14ac:dyDescent="0.25">
      <c r="A44" s="21" t="s">
        <v>154</v>
      </c>
      <c r="B44" s="46">
        <v>0</v>
      </c>
      <c r="C44" s="46">
        <v>9.1063140000000001E-2</v>
      </c>
      <c r="D44" s="46">
        <v>0</v>
      </c>
      <c r="E44" s="46">
        <v>8.4690000000000008E-3</v>
      </c>
      <c r="F44" s="46">
        <v>0</v>
      </c>
      <c r="G44" s="46">
        <v>0</v>
      </c>
      <c r="H44" s="46">
        <v>0</v>
      </c>
      <c r="I44" s="46">
        <v>0</v>
      </c>
      <c r="J44" s="46">
        <v>0.66076279000000004</v>
      </c>
      <c r="K44" s="35"/>
      <c r="R44" s="18"/>
      <c r="S44" s="18"/>
      <c r="T44" s="18"/>
      <c r="U44" s="18"/>
      <c r="V44" s="18"/>
      <c r="W44" s="18"/>
      <c r="X44" s="18"/>
      <c r="Y44" s="18"/>
      <c r="Z44" s="18"/>
    </row>
    <row r="45" spans="1:26" x14ac:dyDescent="0.25">
      <c r="A45" s="21" t="s">
        <v>79</v>
      </c>
      <c r="B45" s="46">
        <v>0</v>
      </c>
      <c r="C45" s="46">
        <v>0</v>
      </c>
      <c r="D45" s="46">
        <v>0</v>
      </c>
      <c r="E45" s="46">
        <v>2.3897173399999998</v>
      </c>
      <c r="F45" s="46">
        <v>3.7098480000000003E-2</v>
      </c>
      <c r="G45" s="46">
        <v>1.1055399999999999E-3</v>
      </c>
      <c r="H45" s="46">
        <v>1.118043E-2</v>
      </c>
      <c r="I45" s="46">
        <v>4.0061739999999998E-2</v>
      </c>
      <c r="J45" s="46">
        <v>0.65366513000000004</v>
      </c>
      <c r="K45" s="35"/>
      <c r="R45" s="18"/>
      <c r="S45" s="18"/>
      <c r="T45" s="18"/>
      <c r="U45" s="18"/>
      <c r="V45" s="18"/>
      <c r="W45" s="18"/>
      <c r="X45" s="18"/>
      <c r="Y45" s="18"/>
      <c r="Z45" s="18"/>
    </row>
    <row r="46" spans="1:26" x14ac:dyDescent="0.25">
      <c r="A46" s="21" t="s">
        <v>180</v>
      </c>
      <c r="B46" s="46">
        <v>0</v>
      </c>
      <c r="C46" s="46">
        <v>0.46479574000000001</v>
      </c>
      <c r="D46" s="46">
        <v>0</v>
      </c>
      <c r="E46" s="46">
        <v>0.93246359999999995</v>
      </c>
      <c r="F46" s="46">
        <v>0</v>
      </c>
      <c r="G46" s="46">
        <v>0</v>
      </c>
      <c r="H46" s="46">
        <v>0</v>
      </c>
      <c r="I46" s="46">
        <v>1.8256500000000001E-3</v>
      </c>
      <c r="J46" s="46">
        <v>0.61019250999999997</v>
      </c>
      <c r="K46" s="35"/>
      <c r="R46" s="18"/>
      <c r="S46" s="18"/>
      <c r="T46" s="18"/>
      <c r="U46" s="18"/>
      <c r="V46" s="18"/>
      <c r="W46" s="18"/>
      <c r="X46" s="18"/>
      <c r="Y46" s="18"/>
      <c r="Z46" s="18"/>
    </row>
    <row r="47" spans="1:26" x14ac:dyDescent="0.25">
      <c r="A47" s="21" t="s">
        <v>70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0.60218956999999995</v>
      </c>
      <c r="K47" s="35"/>
      <c r="R47" s="18"/>
      <c r="S47" s="18"/>
      <c r="T47" s="18"/>
      <c r="U47" s="18"/>
      <c r="V47" s="18"/>
      <c r="W47" s="18"/>
      <c r="X47" s="18"/>
      <c r="Y47" s="18"/>
      <c r="Z47" s="18"/>
    </row>
    <row r="48" spans="1:26" x14ac:dyDescent="0.25">
      <c r="A48" s="21" t="s">
        <v>208</v>
      </c>
      <c r="B48" s="46">
        <v>0</v>
      </c>
      <c r="C48" s="46">
        <v>0.11318473</v>
      </c>
      <c r="D48" s="46">
        <v>0</v>
      </c>
      <c r="E48" s="46">
        <v>24.9292859</v>
      </c>
      <c r="F48" s="46">
        <v>1.66482E-3</v>
      </c>
      <c r="G48" s="46">
        <v>3.0234799999999998E-3</v>
      </c>
      <c r="H48" s="46">
        <v>6.9060600000000003E-3</v>
      </c>
      <c r="I48" s="46">
        <v>8.5708799999999995E-3</v>
      </c>
      <c r="J48" s="46">
        <v>0.57373056</v>
      </c>
      <c r="K48" s="35"/>
      <c r="R48" s="18"/>
      <c r="S48" s="18"/>
      <c r="T48" s="18"/>
      <c r="U48" s="18"/>
      <c r="V48" s="18"/>
      <c r="W48" s="18"/>
      <c r="X48" s="18"/>
      <c r="Y48" s="18"/>
      <c r="Z48" s="18"/>
    </row>
    <row r="49" spans="1:26" x14ac:dyDescent="0.25">
      <c r="A49" s="21" t="s">
        <v>159</v>
      </c>
      <c r="B49" s="46">
        <v>0</v>
      </c>
      <c r="C49" s="46">
        <v>0.36</v>
      </c>
      <c r="D49" s="46">
        <v>0</v>
      </c>
      <c r="E49" s="46">
        <v>3.1840832200000002</v>
      </c>
      <c r="F49" s="46">
        <v>0</v>
      </c>
      <c r="G49" s="46">
        <v>0</v>
      </c>
      <c r="H49" s="46">
        <v>0</v>
      </c>
      <c r="I49" s="46">
        <v>1.4280940000000001E-2</v>
      </c>
      <c r="J49" s="46">
        <v>0.49756803000000005</v>
      </c>
      <c r="K49" s="35"/>
      <c r="R49" s="18"/>
      <c r="S49" s="18"/>
      <c r="T49" s="18"/>
      <c r="U49" s="18"/>
      <c r="V49" s="18"/>
      <c r="W49" s="18"/>
      <c r="X49" s="18"/>
      <c r="Y49" s="18"/>
      <c r="Z49" s="18"/>
    </row>
    <row r="50" spans="1:26" x14ac:dyDescent="0.25">
      <c r="A50" s="21" t="s">
        <v>50</v>
      </c>
      <c r="B50" s="46">
        <v>1.8302844299999999</v>
      </c>
      <c r="C50" s="46">
        <v>1.84078443</v>
      </c>
      <c r="D50" s="46">
        <v>0</v>
      </c>
      <c r="E50" s="46">
        <v>1.4056393600000001</v>
      </c>
      <c r="F50" s="46">
        <v>0</v>
      </c>
      <c r="G50" s="46">
        <v>23.990155600000001</v>
      </c>
      <c r="H50" s="46">
        <v>0</v>
      </c>
      <c r="I50" s="46">
        <v>0</v>
      </c>
      <c r="J50" s="46">
        <v>0.45485458000000001</v>
      </c>
      <c r="K50" s="35"/>
      <c r="R50" s="18"/>
      <c r="S50" s="18"/>
      <c r="T50" s="18"/>
      <c r="U50" s="18"/>
      <c r="V50" s="18"/>
      <c r="W50" s="18"/>
      <c r="X50" s="18"/>
      <c r="Y50" s="18"/>
      <c r="Z50" s="18"/>
    </row>
    <row r="51" spans="1:26" x14ac:dyDescent="0.25">
      <c r="A51" s="21" t="s">
        <v>29</v>
      </c>
      <c r="B51" s="46">
        <v>0</v>
      </c>
      <c r="C51" s="46">
        <v>0.43345514000000002</v>
      </c>
      <c r="D51" s="46">
        <v>0</v>
      </c>
      <c r="E51" s="46">
        <v>9.0101000000000001E-2</v>
      </c>
      <c r="F51" s="46">
        <v>0</v>
      </c>
      <c r="G51" s="46">
        <v>1.5E-5</v>
      </c>
      <c r="H51" s="46">
        <v>8.0940999999999999E-4</v>
      </c>
      <c r="I51" s="46">
        <v>7.6940999999999999E-4</v>
      </c>
      <c r="J51" s="46">
        <v>0.43362442000000001</v>
      </c>
      <c r="K51" s="35"/>
      <c r="R51" s="18"/>
      <c r="S51" s="18"/>
      <c r="T51" s="18"/>
      <c r="U51" s="18"/>
      <c r="V51" s="18"/>
      <c r="W51" s="18"/>
      <c r="X51" s="18"/>
      <c r="Y51" s="18"/>
      <c r="Z51" s="18"/>
    </row>
    <row r="52" spans="1:26" x14ac:dyDescent="0.25">
      <c r="A52" s="21" t="s">
        <v>146</v>
      </c>
      <c r="B52" s="46">
        <v>0</v>
      </c>
      <c r="C52" s="46">
        <v>2.63696E-2</v>
      </c>
      <c r="D52" s="46">
        <v>0</v>
      </c>
      <c r="E52" s="46">
        <v>4.7913817999999999</v>
      </c>
      <c r="F52" s="46">
        <v>6.36851E-3</v>
      </c>
      <c r="G52" s="46">
        <v>0</v>
      </c>
      <c r="H52" s="46">
        <v>0</v>
      </c>
      <c r="I52" s="46">
        <v>1.3922822099999999</v>
      </c>
      <c r="J52" s="46">
        <v>0.41772332000000001</v>
      </c>
      <c r="K52" s="35"/>
      <c r="R52" s="18"/>
      <c r="S52" s="18"/>
      <c r="T52" s="18"/>
      <c r="U52" s="18"/>
      <c r="V52" s="18"/>
      <c r="W52" s="18"/>
      <c r="X52" s="18"/>
      <c r="Y52" s="18"/>
      <c r="Z52" s="18"/>
    </row>
    <row r="53" spans="1:26" x14ac:dyDescent="0.25">
      <c r="A53" s="21" t="s">
        <v>137</v>
      </c>
      <c r="B53" s="46">
        <v>0</v>
      </c>
      <c r="C53" s="46">
        <v>1.6646E-4</v>
      </c>
      <c r="D53" s="46">
        <v>0</v>
      </c>
      <c r="E53" s="46">
        <v>4.7244649999999999E-2</v>
      </c>
      <c r="F53" s="46">
        <v>3.6324199999999999E-3</v>
      </c>
      <c r="G53" s="46">
        <v>9.959E-5</v>
      </c>
      <c r="H53" s="46">
        <v>0</v>
      </c>
      <c r="I53" s="46">
        <v>3.6324199999999999E-3</v>
      </c>
      <c r="J53" s="46">
        <v>0.41079461</v>
      </c>
      <c r="K53" s="35"/>
      <c r="R53" s="18"/>
      <c r="S53" s="18"/>
      <c r="T53" s="18"/>
      <c r="U53" s="18"/>
      <c r="V53" s="18"/>
      <c r="W53" s="18"/>
      <c r="X53" s="18"/>
      <c r="Y53" s="18"/>
      <c r="Z53" s="18"/>
    </row>
    <row r="54" spans="1:26" x14ac:dyDescent="0.25">
      <c r="A54" s="21" t="s">
        <v>81</v>
      </c>
      <c r="B54" s="46">
        <v>0</v>
      </c>
      <c r="C54" s="46">
        <v>0.34178896000000003</v>
      </c>
      <c r="D54" s="46">
        <v>0</v>
      </c>
      <c r="E54" s="46">
        <v>1.4851521299999999</v>
      </c>
      <c r="F54" s="46">
        <v>2.8298500000000001E-3</v>
      </c>
      <c r="G54" s="46">
        <v>0</v>
      </c>
      <c r="H54" s="46">
        <v>0.11920333999999999</v>
      </c>
      <c r="I54" s="46">
        <v>9.8119890000000001E-2</v>
      </c>
      <c r="J54" s="46">
        <v>0.40077796000000004</v>
      </c>
      <c r="K54" s="35"/>
      <c r="R54" s="18"/>
      <c r="S54" s="18"/>
      <c r="T54" s="18"/>
      <c r="U54" s="18"/>
      <c r="V54" s="18"/>
      <c r="W54" s="18"/>
      <c r="X54" s="18"/>
      <c r="Y54" s="18"/>
      <c r="Z54" s="18"/>
    </row>
    <row r="55" spans="1:26" x14ac:dyDescent="0.25">
      <c r="A55" s="21" t="s">
        <v>209</v>
      </c>
      <c r="B55" s="46">
        <v>0</v>
      </c>
      <c r="C55" s="46">
        <v>0.62960472000000001</v>
      </c>
      <c r="D55" s="46">
        <v>0</v>
      </c>
      <c r="E55" s="46">
        <v>0.53926791000000007</v>
      </c>
      <c r="F55" s="46">
        <v>6.0000000000000002E-5</v>
      </c>
      <c r="G55" s="46">
        <v>0</v>
      </c>
      <c r="H55" s="46">
        <v>0</v>
      </c>
      <c r="I55" s="46">
        <v>6.0000000000000002E-5</v>
      </c>
      <c r="J55" s="46">
        <v>0.40050309000000001</v>
      </c>
      <c r="K55" s="35"/>
      <c r="R55" s="18"/>
      <c r="S55" s="18"/>
      <c r="T55" s="18"/>
      <c r="U55" s="18"/>
      <c r="V55" s="18"/>
      <c r="W55" s="18"/>
      <c r="X55" s="18"/>
      <c r="Y55" s="18"/>
      <c r="Z55" s="18"/>
    </row>
    <row r="56" spans="1:26" x14ac:dyDescent="0.25">
      <c r="A56" s="21" t="s">
        <v>5</v>
      </c>
      <c r="B56" s="46">
        <v>0</v>
      </c>
      <c r="C56" s="46">
        <v>0</v>
      </c>
      <c r="D56" s="46">
        <v>0</v>
      </c>
      <c r="E56" s="46">
        <v>6.0000000000000002E-5</v>
      </c>
      <c r="F56" s="46">
        <v>0</v>
      </c>
      <c r="G56" s="46">
        <v>0</v>
      </c>
      <c r="H56" s="46">
        <v>0</v>
      </c>
      <c r="I56" s="46">
        <v>0</v>
      </c>
      <c r="J56" s="46">
        <v>0.39668843999999998</v>
      </c>
      <c r="K56" s="35"/>
      <c r="R56" s="18"/>
      <c r="S56" s="18"/>
      <c r="T56" s="18"/>
      <c r="U56" s="18"/>
      <c r="V56" s="18"/>
      <c r="W56" s="18"/>
      <c r="X56" s="18"/>
      <c r="Y56" s="18"/>
      <c r="Z56" s="18"/>
    </row>
    <row r="57" spans="1:26" x14ac:dyDescent="0.25">
      <c r="A57" s="21" t="s">
        <v>171</v>
      </c>
      <c r="B57" s="46">
        <v>0</v>
      </c>
      <c r="C57" s="46">
        <v>4.1186349999999997E-2</v>
      </c>
      <c r="D57" s="46">
        <v>0</v>
      </c>
      <c r="E57" s="46">
        <v>2.1415704999999998</v>
      </c>
      <c r="F57" s="46">
        <v>0</v>
      </c>
      <c r="G57" s="46">
        <v>2.1679999999999998E-3</v>
      </c>
      <c r="H57" s="46">
        <v>6.4641199999999996E-2</v>
      </c>
      <c r="I57" s="46">
        <v>6.9654489999999999E-2</v>
      </c>
      <c r="J57" s="46">
        <v>0.39192909999999997</v>
      </c>
      <c r="K57" s="35"/>
      <c r="R57" s="18"/>
      <c r="S57" s="18"/>
      <c r="T57" s="18"/>
      <c r="U57" s="18"/>
      <c r="V57" s="18"/>
      <c r="W57" s="18"/>
      <c r="X57" s="18"/>
      <c r="Y57" s="18"/>
      <c r="Z57" s="18"/>
    </row>
    <row r="58" spans="1:26" x14ac:dyDescent="0.25">
      <c r="A58" s="21" t="s">
        <v>129</v>
      </c>
      <c r="B58" s="46">
        <v>0</v>
      </c>
      <c r="C58" s="46">
        <v>4.2672300000000003E-2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0.35832468000000001</v>
      </c>
      <c r="K58" s="35"/>
      <c r="R58" s="18"/>
      <c r="S58" s="18"/>
      <c r="T58" s="18"/>
      <c r="U58" s="18"/>
      <c r="V58" s="18"/>
      <c r="W58" s="18"/>
      <c r="X58" s="18"/>
      <c r="Y58" s="18"/>
      <c r="Z58" s="18"/>
    </row>
    <row r="59" spans="1:26" x14ac:dyDescent="0.25">
      <c r="A59" s="21" t="s">
        <v>152</v>
      </c>
      <c r="B59" s="46">
        <v>0</v>
      </c>
      <c r="C59" s="46">
        <v>3.2000000000000001E-2</v>
      </c>
      <c r="D59" s="46">
        <v>0</v>
      </c>
      <c r="E59" s="46">
        <v>1.0758999999999999E-2</v>
      </c>
      <c r="F59" s="46">
        <v>0</v>
      </c>
      <c r="G59" s="46">
        <v>0</v>
      </c>
      <c r="H59" s="46">
        <v>0</v>
      </c>
      <c r="I59" s="46">
        <v>0</v>
      </c>
      <c r="J59" s="46">
        <v>0.35362494999999999</v>
      </c>
      <c r="K59" s="35"/>
      <c r="R59" s="18"/>
      <c r="S59" s="18"/>
      <c r="T59" s="18"/>
      <c r="U59" s="18"/>
      <c r="V59" s="18"/>
      <c r="W59" s="18"/>
      <c r="X59" s="18"/>
      <c r="Y59" s="18"/>
      <c r="Z59" s="18"/>
    </row>
    <row r="60" spans="1:26" x14ac:dyDescent="0.25">
      <c r="A60" s="21" t="s">
        <v>143</v>
      </c>
      <c r="B60" s="46">
        <v>0</v>
      </c>
      <c r="C60" s="46">
        <v>0.3296</v>
      </c>
      <c r="D60" s="46">
        <v>0</v>
      </c>
      <c r="E60" s="46">
        <v>7.1651300000000004</v>
      </c>
      <c r="F60" s="46">
        <v>0</v>
      </c>
      <c r="G60" s="46">
        <v>6.5798289999999995E-2</v>
      </c>
      <c r="H60" s="46">
        <v>0</v>
      </c>
      <c r="I60" s="46">
        <v>0</v>
      </c>
      <c r="J60" s="46">
        <v>0.35081001000000001</v>
      </c>
      <c r="K60" s="35"/>
      <c r="R60" s="18"/>
      <c r="S60" s="18"/>
      <c r="T60" s="18"/>
      <c r="U60" s="18"/>
      <c r="V60" s="18"/>
      <c r="W60" s="18"/>
      <c r="X60" s="18"/>
      <c r="Y60" s="18"/>
      <c r="Z60" s="18"/>
    </row>
    <row r="61" spans="1:26" x14ac:dyDescent="0.25">
      <c r="A61" s="21" t="s">
        <v>215</v>
      </c>
      <c r="B61" s="46">
        <v>0</v>
      </c>
      <c r="C61" s="46">
        <v>5.1002339999999993E-2</v>
      </c>
      <c r="D61" s="46">
        <v>2.5000000000000001E-2</v>
      </c>
      <c r="E61" s="46">
        <v>0.5768337</v>
      </c>
      <c r="F61" s="46">
        <v>3.5791382</v>
      </c>
      <c r="G61" s="46">
        <v>9.0523030000000004E-2</v>
      </c>
      <c r="H61" s="46">
        <v>2.4341526299999998</v>
      </c>
      <c r="I61" s="46">
        <v>5.4755384500000002</v>
      </c>
      <c r="J61" s="46">
        <v>0.33975662000000001</v>
      </c>
      <c r="K61" s="35"/>
      <c r="R61" s="18"/>
      <c r="S61" s="18"/>
      <c r="T61" s="18"/>
      <c r="U61" s="18"/>
      <c r="V61" s="18"/>
      <c r="W61" s="18"/>
      <c r="X61" s="18"/>
      <c r="Y61" s="18"/>
      <c r="Z61" s="18"/>
    </row>
    <row r="62" spans="1:26" x14ac:dyDescent="0.25">
      <c r="A62" s="21" t="s">
        <v>72</v>
      </c>
      <c r="B62" s="46">
        <v>0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0.31324667</v>
      </c>
      <c r="K62" s="35"/>
      <c r="R62" s="18"/>
      <c r="S62" s="18"/>
      <c r="T62" s="18"/>
      <c r="U62" s="18"/>
      <c r="V62" s="18"/>
      <c r="W62" s="18"/>
      <c r="X62" s="18"/>
      <c r="Y62" s="18"/>
      <c r="Z62" s="18"/>
    </row>
    <row r="63" spans="1:26" x14ac:dyDescent="0.25">
      <c r="A63" s="21" t="s">
        <v>200</v>
      </c>
      <c r="B63" s="46">
        <v>0</v>
      </c>
      <c r="C63" s="46">
        <v>1.4999999999999999E-4</v>
      </c>
      <c r="D63" s="46">
        <v>0</v>
      </c>
      <c r="E63" s="46">
        <v>0.16333516000000001</v>
      </c>
      <c r="F63" s="46">
        <v>0</v>
      </c>
      <c r="G63" s="46">
        <v>0</v>
      </c>
      <c r="H63" s="46">
        <v>0.39800687000000001</v>
      </c>
      <c r="I63" s="46">
        <v>0.39800687000000001</v>
      </c>
      <c r="J63" s="46">
        <v>0.31214460999999999</v>
      </c>
      <c r="K63" s="35"/>
      <c r="R63" s="18"/>
      <c r="S63" s="18"/>
      <c r="T63" s="18"/>
      <c r="U63" s="18"/>
      <c r="V63" s="18"/>
      <c r="W63" s="18"/>
      <c r="X63" s="18"/>
      <c r="Y63" s="18"/>
      <c r="Z63" s="18"/>
    </row>
    <row r="64" spans="1:26" x14ac:dyDescent="0.25">
      <c r="A64" s="21" t="s">
        <v>45</v>
      </c>
      <c r="B64" s="46">
        <v>0</v>
      </c>
      <c r="C64" s="46">
        <v>0</v>
      </c>
      <c r="D64" s="46">
        <v>0</v>
      </c>
      <c r="E64" s="46">
        <v>5.4394561399999999</v>
      </c>
      <c r="F64" s="46">
        <v>4.0000000000000002E-4</v>
      </c>
      <c r="G64" s="46">
        <v>35.773031459999999</v>
      </c>
      <c r="H64" s="46">
        <v>0.44802131000000001</v>
      </c>
      <c r="I64" s="46">
        <v>0.44930171000000002</v>
      </c>
      <c r="J64" s="46">
        <v>0.29490223999999998</v>
      </c>
      <c r="K64" s="35"/>
      <c r="R64" s="18"/>
      <c r="S64" s="18"/>
      <c r="T64" s="18"/>
      <c r="U64" s="18"/>
      <c r="V64" s="18"/>
      <c r="W64" s="18"/>
      <c r="X64" s="18"/>
      <c r="Y64" s="18"/>
      <c r="Z64" s="18"/>
    </row>
    <row r="65" spans="1:26" x14ac:dyDescent="0.25">
      <c r="A65" s="21" t="s">
        <v>173</v>
      </c>
      <c r="B65" s="46">
        <v>0</v>
      </c>
      <c r="C65" s="46">
        <v>0.17700637999999999</v>
      </c>
      <c r="D65" s="46">
        <v>0</v>
      </c>
      <c r="E65" s="46">
        <v>3.75945201</v>
      </c>
      <c r="F65" s="46">
        <v>0</v>
      </c>
      <c r="G65" s="46">
        <v>2.5000000000000001E-4</v>
      </c>
      <c r="H65" s="46">
        <v>0</v>
      </c>
      <c r="I65" s="46">
        <v>0</v>
      </c>
      <c r="J65" s="46">
        <v>0.27608090000000002</v>
      </c>
      <c r="K65" s="35"/>
      <c r="R65" s="18"/>
      <c r="S65" s="18"/>
      <c r="T65" s="18"/>
      <c r="U65" s="18"/>
      <c r="V65" s="18"/>
      <c r="W65" s="18"/>
      <c r="X65" s="18"/>
      <c r="Y65" s="18"/>
      <c r="Z65" s="18"/>
    </row>
    <row r="66" spans="1:26" x14ac:dyDescent="0.25">
      <c r="A66" s="21" t="s">
        <v>102</v>
      </c>
      <c r="B66" s="46">
        <v>1.0391620000000001E-2</v>
      </c>
      <c r="C66" s="46">
        <v>2.0924209999999999E-2</v>
      </c>
      <c r="D66" s="46">
        <v>0</v>
      </c>
      <c r="E66" s="46">
        <v>0.22350448000000001</v>
      </c>
      <c r="F66" s="46">
        <v>8.1679300000000003E-3</v>
      </c>
      <c r="G66" s="46">
        <v>2.069418E-2</v>
      </c>
      <c r="H66" s="46">
        <v>4.0343000000000002E-3</v>
      </c>
      <c r="I66" s="46">
        <v>1.220223E-2</v>
      </c>
      <c r="J66" s="46">
        <v>0.25001709</v>
      </c>
      <c r="K66" s="35"/>
      <c r="R66" s="18"/>
      <c r="S66" s="18"/>
      <c r="T66" s="18"/>
      <c r="U66" s="18"/>
      <c r="V66" s="18"/>
      <c r="W66" s="18"/>
      <c r="X66" s="18"/>
      <c r="Y66" s="18"/>
      <c r="Z66" s="18"/>
    </row>
    <row r="67" spans="1:26" x14ac:dyDescent="0.25">
      <c r="A67" s="21" t="s">
        <v>156</v>
      </c>
      <c r="B67" s="46">
        <v>0</v>
      </c>
      <c r="C67" s="46">
        <v>0</v>
      </c>
      <c r="D67" s="46">
        <v>0</v>
      </c>
      <c r="E67" s="46">
        <v>0.24824139000000001</v>
      </c>
      <c r="F67" s="46">
        <v>0</v>
      </c>
      <c r="G67" s="46">
        <v>0</v>
      </c>
      <c r="H67" s="46">
        <v>0</v>
      </c>
      <c r="I67" s="46">
        <v>0</v>
      </c>
      <c r="J67" s="46">
        <v>0.23616229</v>
      </c>
      <c r="K67" s="35"/>
      <c r="R67" s="18"/>
      <c r="S67" s="18"/>
      <c r="T67" s="18"/>
      <c r="U67" s="18"/>
      <c r="V67" s="18"/>
      <c r="W67" s="18"/>
      <c r="X67" s="18"/>
      <c r="Y67" s="18"/>
      <c r="Z67" s="18"/>
    </row>
    <row r="68" spans="1:26" x14ac:dyDescent="0.25">
      <c r="A68" s="21" t="s">
        <v>182</v>
      </c>
      <c r="B68" s="46">
        <v>0</v>
      </c>
      <c r="C68" s="46">
        <v>3.716912E-2</v>
      </c>
      <c r="D68" s="46">
        <v>0</v>
      </c>
      <c r="E68" s="46">
        <v>1.7474999999999999E-4</v>
      </c>
      <c r="F68" s="46">
        <v>0</v>
      </c>
      <c r="G68" s="46">
        <v>0</v>
      </c>
      <c r="H68" s="46">
        <v>0</v>
      </c>
      <c r="I68" s="46">
        <v>0</v>
      </c>
      <c r="J68" s="46">
        <v>0.23168935000000002</v>
      </c>
      <c r="K68" s="35"/>
      <c r="R68" s="18"/>
      <c r="S68" s="18"/>
      <c r="T68" s="18"/>
      <c r="U68" s="18"/>
      <c r="V68" s="18"/>
      <c r="W68" s="18"/>
      <c r="X68" s="18"/>
      <c r="Y68" s="18"/>
      <c r="Z68" s="18"/>
    </row>
    <row r="69" spans="1:26" x14ac:dyDescent="0.25">
      <c r="A69" s="21" t="s">
        <v>93</v>
      </c>
      <c r="B69" s="46">
        <v>0</v>
      </c>
      <c r="C69" s="46">
        <v>0</v>
      </c>
      <c r="D69" s="46">
        <v>0</v>
      </c>
      <c r="E69" s="46">
        <v>3.0623000000000001E-2</v>
      </c>
      <c r="F69" s="46">
        <v>0</v>
      </c>
      <c r="G69" s="46">
        <v>2.7843E-3</v>
      </c>
      <c r="H69" s="46">
        <v>5.3720999999999999E-4</v>
      </c>
      <c r="I69" s="46">
        <v>5.3720999999999999E-4</v>
      </c>
      <c r="J69" s="46">
        <v>0.22950777</v>
      </c>
      <c r="K69" s="35"/>
      <c r="R69" s="18"/>
      <c r="S69" s="18"/>
      <c r="T69" s="18"/>
      <c r="U69" s="18"/>
      <c r="V69" s="18"/>
      <c r="W69" s="18"/>
      <c r="X69" s="18"/>
      <c r="Y69" s="18"/>
      <c r="Z69" s="18"/>
    </row>
    <row r="70" spans="1:26" x14ac:dyDescent="0.25">
      <c r="A70" s="21" t="s">
        <v>69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0.21219251</v>
      </c>
      <c r="K70" s="35"/>
      <c r="R70" s="18"/>
      <c r="S70" s="18"/>
      <c r="T70" s="18"/>
      <c r="U70" s="18"/>
      <c r="V70" s="18"/>
      <c r="W70" s="18"/>
      <c r="X70" s="18"/>
      <c r="Y70" s="18"/>
      <c r="Z70" s="18"/>
    </row>
    <row r="71" spans="1:26" x14ac:dyDescent="0.25">
      <c r="A71" s="21" t="s">
        <v>28</v>
      </c>
      <c r="B71" s="46">
        <v>0</v>
      </c>
      <c r="C71" s="46">
        <v>0.18050774</v>
      </c>
      <c r="D71" s="46">
        <v>0</v>
      </c>
      <c r="E71" s="46">
        <v>36.616393520000003</v>
      </c>
      <c r="F71" s="46">
        <v>0</v>
      </c>
      <c r="G71" s="46">
        <v>0</v>
      </c>
      <c r="H71" s="46">
        <v>0</v>
      </c>
      <c r="I71" s="46">
        <v>1.042E-3</v>
      </c>
      <c r="J71" s="46">
        <v>0.21202097</v>
      </c>
      <c r="K71" s="35"/>
      <c r="R71" s="18"/>
      <c r="S71" s="18"/>
      <c r="T71" s="18"/>
      <c r="U71" s="18"/>
      <c r="V71" s="18"/>
      <c r="W71" s="18"/>
      <c r="X71" s="18"/>
      <c r="Y71" s="18"/>
      <c r="Z71" s="18"/>
    </row>
    <row r="72" spans="1:26" x14ac:dyDescent="0.25">
      <c r="A72" s="21" t="s">
        <v>178</v>
      </c>
      <c r="B72" s="46">
        <v>0</v>
      </c>
      <c r="C72" s="46">
        <v>2.7354899999999997E-3</v>
      </c>
      <c r="D72" s="46">
        <v>0</v>
      </c>
      <c r="E72" s="46">
        <v>8.1966764300000001</v>
      </c>
      <c r="F72" s="46">
        <v>1.5E-3</v>
      </c>
      <c r="G72" s="46">
        <v>0</v>
      </c>
      <c r="H72" s="46">
        <v>0</v>
      </c>
      <c r="I72" s="46">
        <v>1.5E-3</v>
      </c>
      <c r="J72" s="46">
        <v>0.20425738000000002</v>
      </c>
      <c r="K72" s="35"/>
      <c r="R72" s="18"/>
      <c r="S72" s="18"/>
      <c r="T72" s="18"/>
      <c r="U72" s="18"/>
      <c r="V72" s="18"/>
      <c r="W72" s="18"/>
      <c r="X72" s="18"/>
      <c r="Y72" s="18"/>
      <c r="Z72" s="18"/>
    </row>
    <row r="73" spans="1:26" x14ac:dyDescent="0.25">
      <c r="A73" s="21" t="s">
        <v>120</v>
      </c>
      <c r="B73" s="46">
        <v>0</v>
      </c>
      <c r="C73" s="46">
        <v>1E-4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4.2000000000000002E-4</v>
      </c>
      <c r="J73" s="46">
        <v>0.19092875000000001</v>
      </c>
      <c r="K73" s="35"/>
      <c r="R73" s="18"/>
      <c r="S73" s="18"/>
      <c r="T73" s="18"/>
      <c r="U73" s="18"/>
      <c r="V73" s="18"/>
      <c r="W73" s="18"/>
      <c r="X73" s="18"/>
      <c r="Y73" s="18"/>
      <c r="Z73" s="18"/>
    </row>
    <row r="74" spans="1:26" x14ac:dyDescent="0.25">
      <c r="A74" s="21" t="s">
        <v>112</v>
      </c>
      <c r="B74" s="46">
        <v>0</v>
      </c>
      <c r="C74" s="46">
        <v>0</v>
      </c>
      <c r="D74" s="46">
        <v>0</v>
      </c>
      <c r="E74" s="46">
        <v>1.647564E-2</v>
      </c>
      <c r="F74" s="46">
        <v>4.9184000000000001E-4</v>
      </c>
      <c r="G74" s="46">
        <v>5.8209399999999993E-3</v>
      </c>
      <c r="H74" s="46">
        <v>1.4049190000000001E-2</v>
      </c>
      <c r="I74" s="46">
        <v>4.9184000000000001E-4</v>
      </c>
      <c r="J74" s="46">
        <v>0.18969635000000001</v>
      </c>
      <c r="K74" s="35"/>
      <c r="R74" s="18"/>
      <c r="S74" s="18"/>
      <c r="T74" s="18"/>
      <c r="U74" s="18"/>
      <c r="V74" s="18"/>
      <c r="W74" s="18"/>
      <c r="X74" s="18"/>
      <c r="Y74" s="18"/>
      <c r="Z74" s="18"/>
    </row>
    <row r="75" spans="1:26" x14ac:dyDescent="0.25">
      <c r="A75" s="21" t="s">
        <v>80</v>
      </c>
      <c r="B75" s="46">
        <v>0</v>
      </c>
      <c r="C75" s="46">
        <v>3.3395999999999995E-4</v>
      </c>
      <c r="D75" s="46">
        <v>0</v>
      </c>
      <c r="E75" s="46">
        <v>10.17585968</v>
      </c>
      <c r="F75" s="46">
        <v>0</v>
      </c>
      <c r="G75" s="46">
        <v>0</v>
      </c>
      <c r="H75" s="46">
        <v>7.1587780000000004E-2</v>
      </c>
      <c r="I75" s="46">
        <v>7.211178E-2</v>
      </c>
      <c r="J75" s="46">
        <v>0.17811182</v>
      </c>
      <c r="K75" s="35"/>
      <c r="R75" s="18"/>
      <c r="S75" s="18"/>
      <c r="T75" s="18"/>
      <c r="U75" s="18"/>
      <c r="V75" s="18"/>
      <c r="W75" s="18"/>
      <c r="X75" s="18"/>
      <c r="Y75" s="18"/>
      <c r="Z75" s="18"/>
    </row>
    <row r="76" spans="1:26" x14ac:dyDescent="0.25">
      <c r="A76" s="21" t="s">
        <v>214</v>
      </c>
      <c r="B76" s="46">
        <v>0</v>
      </c>
      <c r="C76" s="46">
        <v>7.2500000000000004E-3</v>
      </c>
      <c r="D76" s="46">
        <v>0</v>
      </c>
      <c r="E76" s="46">
        <v>0.30052389000000002</v>
      </c>
      <c r="F76" s="46">
        <v>6.5506000000000002E-3</v>
      </c>
      <c r="G76" s="46">
        <v>7.7660699999999999E-3</v>
      </c>
      <c r="H76" s="46">
        <v>0.16463388000000001</v>
      </c>
      <c r="I76" s="46">
        <v>0.17298448000000002</v>
      </c>
      <c r="J76" s="46">
        <v>0.15701685999999998</v>
      </c>
      <c r="K76" s="35"/>
      <c r="R76" s="18"/>
      <c r="S76" s="18"/>
      <c r="T76" s="18"/>
      <c r="U76" s="18"/>
      <c r="V76" s="18"/>
      <c r="W76" s="18"/>
      <c r="X76" s="18"/>
      <c r="Y76" s="18"/>
      <c r="Z76" s="18"/>
    </row>
    <row r="77" spans="1:26" x14ac:dyDescent="0.25">
      <c r="A77" s="21" t="s">
        <v>18</v>
      </c>
      <c r="B77" s="46">
        <v>0</v>
      </c>
      <c r="C77" s="46">
        <v>0</v>
      </c>
      <c r="D77" s="46">
        <v>0</v>
      </c>
      <c r="E77" s="46">
        <v>15.950075999999999</v>
      </c>
      <c r="F77" s="46">
        <v>0.42949999999999999</v>
      </c>
      <c r="G77" s="46">
        <v>11.246603589999999</v>
      </c>
      <c r="H77" s="46">
        <v>346.77673033999997</v>
      </c>
      <c r="I77" s="46">
        <v>490.57248186000004</v>
      </c>
      <c r="J77" s="46">
        <v>0.14436870000000002</v>
      </c>
      <c r="K77" s="35"/>
      <c r="R77" s="18"/>
      <c r="S77" s="18"/>
      <c r="T77" s="18"/>
      <c r="U77" s="18"/>
      <c r="V77" s="18"/>
      <c r="W77" s="18"/>
      <c r="X77" s="18"/>
      <c r="Y77" s="18"/>
      <c r="Z77" s="18"/>
    </row>
    <row r="78" spans="1:26" x14ac:dyDescent="0.25">
      <c r="A78" s="21" t="s">
        <v>142</v>
      </c>
      <c r="B78" s="46">
        <v>0</v>
      </c>
      <c r="C78" s="46">
        <v>6.9410320000000011E-2</v>
      </c>
      <c r="D78" s="46">
        <v>0</v>
      </c>
      <c r="E78" s="46">
        <v>0.26891281</v>
      </c>
      <c r="F78" s="46">
        <v>0</v>
      </c>
      <c r="G78" s="46">
        <v>0</v>
      </c>
      <c r="H78" s="46">
        <v>0.36684431000000001</v>
      </c>
      <c r="I78" s="46">
        <v>0.36684431000000001</v>
      </c>
      <c r="J78" s="46">
        <v>0.13670923999999998</v>
      </c>
      <c r="K78" s="35"/>
      <c r="R78" s="18"/>
      <c r="S78" s="18"/>
      <c r="T78" s="18"/>
      <c r="U78" s="18"/>
      <c r="V78" s="18"/>
      <c r="W78" s="18"/>
      <c r="X78" s="18"/>
      <c r="Y78" s="18"/>
      <c r="Z78" s="18"/>
    </row>
    <row r="79" spans="1:26" x14ac:dyDescent="0.25">
      <c r="A79" s="21" t="s">
        <v>83</v>
      </c>
      <c r="B79" s="46">
        <v>0</v>
      </c>
      <c r="C79" s="46">
        <v>6.9350000000000002E-3</v>
      </c>
      <c r="D79" s="46">
        <v>0</v>
      </c>
      <c r="E79" s="46">
        <v>0.87782778000000006</v>
      </c>
      <c r="F79" s="46">
        <v>5.6499999999999996E-3</v>
      </c>
      <c r="G79" s="46">
        <v>1.443533E-2</v>
      </c>
      <c r="H79" s="46">
        <v>0</v>
      </c>
      <c r="I79" s="46">
        <v>2.1922000000000001E-2</v>
      </c>
      <c r="J79" s="46">
        <v>0.13202549999999999</v>
      </c>
      <c r="K79" s="35"/>
      <c r="R79" s="18"/>
      <c r="S79" s="18"/>
      <c r="T79" s="18"/>
      <c r="U79" s="18"/>
      <c r="V79" s="18"/>
      <c r="W79" s="18"/>
      <c r="X79" s="18"/>
      <c r="Y79" s="18"/>
      <c r="Z79" s="18"/>
    </row>
    <row r="80" spans="1:26" x14ac:dyDescent="0.25">
      <c r="A80" s="21" t="s">
        <v>195</v>
      </c>
      <c r="B80" s="46">
        <v>1.8000000000000001E-4</v>
      </c>
      <c r="C80" s="46">
        <v>2.8945999999999996E-4</v>
      </c>
      <c r="D80" s="46">
        <v>0</v>
      </c>
      <c r="E80" s="46">
        <v>5.4208400000000004E-2</v>
      </c>
      <c r="F80" s="46">
        <v>5.6017100000000002E-3</v>
      </c>
      <c r="G80" s="46">
        <v>1.0200000000000001E-3</v>
      </c>
      <c r="H80" s="46">
        <v>3.47985E-3</v>
      </c>
      <c r="I80" s="46">
        <v>1.038156E-2</v>
      </c>
      <c r="J80" s="46">
        <v>0.12814471999999999</v>
      </c>
      <c r="K80" s="35"/>
      <c r="R80" s="18"/>
      <c r="S80" s="18"/>
      <c r="T80" s="18"/>
      <c r="U80" s="18"/>
      <c r="V80" s="18"/>
      <c r="W80" s="18"/>
      <c r="X80" s="18"/>
      <c r="Y80" s="18"/>
      <c r="Z80" s="18"/>
    </row>
    <row r="81" spans="1:26" x14ac:dyDescent="0.25">
      <c r="A81" s="21" t="s">
        <v>10</v>
      </c>
      <c r="B81" s="46">
        <v>0</v>
      </c>
      <c r="C81" s="46">
        <v>0.1191533</v>
      </c>
      <c r="D81" s="46">
        <v>0</v>
      </c>
      <c r="E81" s="46">
        <v>6.1329596200000003</v>
      </c>
      <c r="F81" s="46">
        <v>0</v>
      </c>
      <c r="G81" s="46">
        <v>12.126603060000001</v>
      </c>
      <c r="H81" s="46">
        <v>27.792903940000002</v>
      </c>
      <c r="I81" s="46">
        <v>46.43109682</v>
      </c>
      <c r="J81" s="46">
        <v>0.1191533</v>
      </c>
      <c r="K81" s="35"/>
      <c r="R81" s="18"/>
      <c r="S81" s="18"/>
      <c r="T81" s="18"/>
      <c r="U81" s="18"/>
      <c r="V81" s="18"/>
      <c r="W81" s="18"/>
      <c r="X81" s="18"/>
      <c r="Y81" s="18"/>
      <c r="Z81" s="18"/>
    </row>
    <row r="82" spans="1:26" x14ac:dyDescent="0.25">
      <c r="A82" s="21" t="s">
        <v>76</v>
      </c>
      <c r="B82" s="46">
        <v>0</v>
      </c>
      <c r="C82" s="46">
        <v>0.13052209000000001</v>
      </c>
      <c r="D82" s="46">
        <v>0</v>
      </c>
      <c r="E82" s="46">
        <v>0.37085024999999999</v>
      </c>
      <c r="F82" s="46">
        <v>3.5608699999999998E-3</v>
      </c>
      <c r="G82" s="46">
        <v>0.73728453000000005</v>
      </c>
      <c r="H82" s="46">
        <v>5.2433000000000004E-4</v>
      </c>
      <c r="I82" s="46">
        <v>4.0851999999999998E-3</v>
      </c>
      <c r="J82" s="46">
        <v>0.11207414</v>
      </c>
      <c r="K82" s="35"/>
      <c r="R82" s="18"/>
      <c r="S82" s="18"/>
      <c r="T82" s="18"/>
      <c r="U82" s="18"/>
      <c r="V82" s="18"/>
      <c r="W82" s="18"/>
      <c r="X82" s="18"/>
      <c r="Y82" s="18"/>
      <c r="Z82" s="18"/>
    </row>
    <row r="83" spans="1:26" x14ac:dyDescent="0.25">
      <c r="A83" s="21" t="s">
        <v>165</v>
      </c>
      <c r="B83" s="46">
        <v>0</v>
      </c>
      <c r="C83" s="46">
        <v>1.709834E-2</v>
      </c>
      <c r="D83" s="46">
        <v>0</v>
      </c>
      <c r="E83" s="46">
        <v>8.6152999999999993E-2</v>
      </c>
      <c r="F83" s="46">
        <v>0</v>
      </c>
      <c r="G83" s="46">
        <v>0</v>
      </c>
      <c r="H83" s="46">
        <v>0</v>
      </c>
      <c r="I83" s="46">
        <v>0</v>
      </c>
      <c r="J83" s="46">
        <v>0.10841486</v>
      </c>
      <c r="K83" s="35"/>
      <c r="R83" s="18"/>
      <c r="S83" s="18"/>
      <c r="T83" s="18"/>
      <c r="U83" s="18"/>
      <c r="V83" s="18"/>
      <c r="W83" s="18"/>
      <c r="X83" s="18"/>
      <c r="Y83" s="18"/>
      <c r="Z83" s="18"/>
    </row>
    <row r="84" spans="1:26" x14ac:dyDescent="0.25">
      <c r="A84" s="21" t="s">
        <v>90</v>
      </c>
      <c r="B84" s="46">
        <v>0</v>
      </c>
      <c r="C84" s="46">
        <v>5.5204959999999997E-2</v>
      </c>
      <c r="D84" s="46">
        <v>0</v>
      </c>
      <c r="E84" s="46">
        <v>1.2275330900000001</v>
      </c>
      <c r="F84" s="46">
        <v>0</v>
      </c>
      <c r="G84" s="46">
        <v>5.9657E-3</v>
      </c>
      <c r="H84" s="46">
        <v>2.7327499999999999E-3</v>
      </c>
      <c r="I84" s="46">
        <v>2.7327499999999999E-3</v>
      </c>
      <c r="J84" s="46">
        <v>0.1037038</v>
      </c>
      <c r="K84" s="35"/>
      <c r="R84" s="18"/>
      <c r="S84" s="18"/>
      <c r="T84" s="18"/>
      <c r="U84" s="18"/>
      <c r="V84" s="18"/>
      <c r="W84" s="18"/>
      <c r="X84" s="18"/>
      <c r="Y84" s="18"/>
      <c r="Z84" s="18"/>
    </row>
    <row r="85" spans="1:26" x14ac:dyDescent="0.25">
      <c r="A85" s="21" t="s">
        <v>119</v>
      </c>
      <c r="B85" s="46">
        <v>0</v>
      </c>
      <c r="C85" s="46">
        <v>6.3223940000000006E-2</v>
      </c>
      <c r="D85" s="46">
        <v>0</v>
      </c>
      <c r="E85" s="46">
        <v>0.56532800000000005</v>
      </c>
      <c r="F85" s="46">
        <v>0</v>
      </c>
      <c r="G85" s="46">
        <v>0</v>
      </c>
      <c r="H85" s="46">
        <v>0</v>
      </c>
      <c r="I85" s="46">
        <v>2.9999999999999997E-4</v>
      </c>
      <c r="J85" s="46">
        <v>9.7669699999999998E-2</v>
      </c>
      <c r="K85" s="35"/>
      <c r="R85" s="18"/>
      <c r="S85" s="18"/>
      <c r="T85" s="18"/>
      <c r="U85" s="18"/>
      <c r="V85" s="18"/>
      <c r="W85" s="18"/>
      <c r="X85" s="18"/>
      <c r="Y85" s="18"/>
      <c r="Z85" s="18"/>
    </row>
    <row r="86" spans="1:26" x14ac:dyDescent="0.25">
      <c r="A86" s="21" t="s">
        <v>134</v>
      </c>
      <c r="B86" s="46">
        <v>0</v>
      </c>
      <c r="C86" s="46">
        <v>7.3927909999999999E-2</v>
      </c>
      <c r="D86" s="46">
        <v>0</v>
      </c>
      <c r="E86" s="46">
        <v>5.0558239999999997E-2</v>
      </c>
      <c r="F86" s="46">
        <v>3.724E-4</v>
      </c>
      <c r="G86" s="46">
        <v>2.4262040000000002E-2</v>
      </c>
      <c r="H86" s="46">
        <v>1.9922E-3</v>
      </c>
      <c r="I86" s="46">
        <v>1.187029E-2</v>
      </c>
      <c r="J86" s="46">
        <v>8.4279190000000004E-2</v>
      </c>
      <c r="K86" s="35"/>
      <c r="R86" s="18"/>
      <c r="S86" s="18"/>
      <c r="T86" s="18"/>
      <c r="U86" s="18"/>
      <c r="V86" s="18"/>
      <c r="W86" s="18"/>
      <c r="X86" s="18"/>
      <c r="Y86" s="18"/>
      <c r="Z86" s="18"/>
    </row>
    <row r="87" spans="1:26" x14ac:dyDescent="0.25">
      <c r="A87" s="21" t="s">
        <v>172</v>
      </c>
      <c r="B87" s="46">
        <v>0</v>
      </c>
      <c r="C87" s="46">
        <v>0</v>
      </c>
      <c r="D87" s="46">
        <v>0</v>
      </c>
      <c r="E87" s="46">
        <v>6.82597466</v>
      </c>
      <c r="F87" s="46">
        <v>0</v>
      </c>
      <c r="G87" s="46">
        <v>0</v>
      </c>
      <c r="H87" s="46">
        <v>0</v>
      </c>
      <c r="I87" s="46">
        <v>4.8224999999999999E-4</v>
      </c>
      <c r="J87" s="46">
        <v>8.2273949999999998E-2</v>
      </c>
      <c r="K87" s="35"/>
      <c r="R87" s="18"/>
      <c r="S87" s="18"/>
      <c r="T87" s="18"/>
      <c r="U87" s="18"/>
      <c r="V87" s="18"/>
      <c r="W87" s="18"/>
      <c r="X87" s="18"/>
      <c r="Y87" s="18"/>
      <c r="Z87" s="18"/>
    </row>
    <row r="88" spans="1:26" x14ac:dyDescent="0.25">
      <c r="A88" s="21" t="s">
        <v>117</v>
      </c>
      <c r="B88" s="46">
        <v>0</v>
      </c>
      <c r="C88" s="46">
        <v>2.9173520000000001E-2</v>
      </c>
      <c r="D88" s="46">
        <v>0</v>
      </c>
      <c r="E88" s="46">
        <v>7.4802948899999997</v>
      </c>
      <c r="F88" s="46">
        <v>2.6559600000000002E-3</v>
      </c>
      <c r="G88" s="46">
        <v>0</v>
      </c>
      <c r="H88" s="46">
        <v>4.4719999999999997E-4</v>
      </c>
      <c r="I88" s="46">
        <v>3.1031599999999998E-3</v>
      </c>
      <c r="J88" s="46">
        <v>8.02176E-2</v>
      </c>
      <c r="K88" s="35"/>
      <c r="R88" s="18"/>
      <c r="S88" s="18"/>
      <c r="T88" s="18"/>
      <c r="U88" s="18"/>
      <c r="V88" s="18"/>
      <c r="W88" s="18"/>
      <c r="X88" s="18"/>
      <c r="Y88" s="18"/>
      <c r="Z88" s="18"/>
    </row>
    <row r="89" spans="1:26" x14ac:dyDescent="0.25">
      <c r="A89" s="21" t="s">
        <v>355</v>
      </c>
      <c r="B89" s="46">
        <v>0</v>
      </c>
      <c r="C89" s="46">
        <v>7.8750000000000001E-2</v>
      </c>
      <c r="D89" s="46">
        <v>0</v>
      </c>
      <c r="E89" s="46">
        <v>6.4130000000000006E-2</v>
      </c>
      <c r="F89" s="46">
        <v>0</v>
      </c>
      <c r="G89" s="46">
        <v>0</v>
      </c>
      <c r="H89" s="46">
        <v>0</v>
      </c>
      <c r="I89" s="46">
        <v>0</v>
      </c>
      <c r="J89" s="46">
        <v>7.8750000000000001E-2</v>
      </c>
      <c r="K89" s="35"/>
      <c r="R89" s="18"/>
      <c r="S89" s="18"/>
      <c r="T89" s="18"/>
      <c r="U89" s="18"/>
      <c r="V89" s="18"/>
      <c r="W89" s="18"/>
      <c r="X89" s="18"/>
      <c r="Y89" s="18"/>
      <c r="Z89" s="18"/>
    </row>
    <row r="90" spans="1:26" x14ac:dyDescent="0.25">
      <c r="A90" s="21" t="s">
        <v>150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7.7658089999999999E-2</v>
      </c>
      <c r="K90" s="35"/>
      <c r="R90" s="18"/>
      <c r="S90" s="18"/>
      <c r="T90" s="18"/>
      <c r="U90" s="18"/>
      <c r="V90" s="18"/>
      <c r="W90" s="18"/>
      <c r="X90" s="18"/>
      <c r="Y90" s="18"/>
      <c r="Z90" s="18"/>
    </row>
    <row r="91" spans="1:26" x14ac:dyDescent="0.25">
      <c r="A91" s="21" t="s">
        <v>16</v>
      </c>
      <c r="B91" s="46">
        <v>0</v>
      </c>
      <c r="C91" s="46">
        <v>0</v>
      </c>
      <c r="D91" s="46">
        <v>0</v>
      </c>
      <c r="E91" s="46">
        <v>7.2529999999999999E-3</v>
      </c>
      <c r="F91" s="46">
        <v>0</v>
      </c>
      <c r="G91" s="46">
        <v>0</v>
      </c>
      <c r="H91" s="46">
        <v>3.1189E-3</v>
      </c>
      <c r="I91" s="46">
        <v>3.1189E-3</v>
      </c>
      <c r="J91" s="46">
        <v>7.4999999999999997E-2</v>
      </c>
      <c r="K91" s="35"/>
      <c r="R91" s="18"/>
      <c r="S91" s="18"/>
      <c r="T91" s="18"/>
      <c r="U91" s="18"/>
      <c r="V91" s="18"/>
      <c r="W91" s="18"/>
      <c r="X91" s="18"/>
      <c r="Y91" s="18"/>
      <c r="Z91" s="18"/>
    </row>
    <row r="92" spans="1:26" x14ac:dyDescent="0.25">
      <c r="A92" s="21" t="s">
        <v>38</v>
      </c>
      <c r="B92" s="46">
        <v>0</v>
      </c>
      <c r="C92" s="46">
        <v>7.4426000000000006E-2</v>
      </c>
      <c r="D92" s="46">
        <v>0</v>
      </c>
      <c r="E92" s="46">
        <v>1.64388175</v>
      </c>
      <c r="F92" s="46">
        <v>0</v>
      </c>
      <c r="G92" s="46">
        <v>5.3794620000000001E-2</v>
      </c>
      <c r="H92" s="46">
        <v>0</v>
      </c>
      <c r="I92" s="46">
        <v>0</v>
      </c>
      <c r="J92" s="46">
        <v>7.4426000000000006E-2</v>
      </c>
      <c r="K92" s="35"/>
      <c r="R92" s="18"/>
      <c r="S92" s="18"/>
      <c r="T92" s="18"/>
      <c r="U92" s="18"/>
      <c r="V92" s="18"/>
      <c r="W92" s="18"/>
      <c r="X92" s="18"/>
      <c r="Y92" s="18"/>
      <c r="Z92" s="18"/>
    </row>
    <row r="93" spans="1:26" x14ac:dyDescent="0.25">
      <c r="A93" s="21" t="s">
        <v>116</v>
      </c>
      <c r="B93" s="46">
        <v>0</v>
      </c>
      <c r="C93" s="46">
        <v>7.1337960000000006E-2</v>
      </c>
      <c r="D93" s="46">
        <v>0</v>
      </c>
      <c r="E93" s="46">
        <v>5.8317100000000002</v>
      </c>
      <c r="F93" s="46">
        <v>0</v>
      </c>
      <c r="G93" s="46">
        <v>1E-4</v>
      </c>
      <c r="H93" s="46">
        <v>0</v>
      </c>
      <c r="I93" s="46">
        <v>0</v>
      </c>
      <c r="J93" s="46">
        <v>7.1337960000000006E-2</v>
      </c>
      <c r="K93" s="35"/>
      <c r="R93" s="18"/>
      <c r="S93" s="18"/>
      <c r="T93" s="18"/>
      <c r="U93" s="18"/>
      <c r="V93" s="18"/>
      <c r="W93" s="18"/>
      <c r="X93" s="18"/>
      <c r="Y93" s="18"/>
      <c r="Z93" s="18"/>
    </row>
    <row r="94" spans="1:26" x14ac:dyDescent="0.25">
      <c r="A94" s="21" t="s">
        <v>104</v>
      </c>
      <c r="B94" s="46">
        <v>0</v>
      </c>
      <c r="C94" s="46">
        <v>3.9296850000000001E-2</v>
      </c>
      <c r="D94" s="46">
        <v>0</v>
      </c>
      <c r="E94" s="46">
        <v>7.0646075499999998</v>
      </c>
      <c r="F94" s="46">
        <v>0</v>
      </c>
      <c r="G94" s="46">
        <v>0</v>
      </c>
      <c r="H94" s="46">
        <v>2.5999999999999998E-4</v>
      </c>
      <c r="I94" s="46">
        <v>2.5999999999999998E-4</v>
      </c>
      <c r="J94" s="46">
        <v>7.0481139999999998E-2</v>
      </c>
      <c r="K94" s="35"/>
      <c r="R94" s="18"/>
      <c r="S94" s="18"/>
      <c r="T94" s="18"/>
      <c r="U94" s="18"/>
      <c r="V94" s="18"/>
      <c r="W94" s="18"/>
      <c r="X94" s="18"/>
      <c r="Y94" s="18"/>
      <c r="Z94" s="18"/>
    </row>
    <row r="95" spans="1:26" x14ac:dyDescent="0.25">
      <c r="A95" s="21" t="s">
        <v>168</v>
      </c>
      <c r="B95" s="46">
        <v>0</v>
      </c>
      <c r="C95" s="46">
        <v>0</v>
      </c>
      <c r="D95" s="46">
        <v>0</v>
      </c>
      <c r="E95" s="46">
        <v>4.2380500000000002E-2</v>
      </c>
      <c r="F95" s="46">
        <v>0</v>
      </c>
      <c r="G95" s="46">
        <v>0</v>
      </c>
      <c r="H95" s="46">
        <v>1.4573E-4</v>
      </c>
      <c r="I95" s="46">
        <v>1.4573E-4</v>
      </c>
      <c r="J95" s="46">
        <v>6.8525839999999991E-2</v>
      </c>
      <c r="K95" s="35"/>
      <c r="R95" s="18"/>
      <c r="S95" s="18"/>
      <c r="T95" s="18"/>
      <c r="U95" s="18"/>
      <c r="V95" s="18"/>
      <c r="W95" s="18"/>
      <c r="X95" s="18"/>
      <c r="Y95" s="18"/>
      <c r="Z95" s="18"/>
    </row>
    <row r="96" spans="1:26" x14ac:dyDescent="0.25">
      <c r="A96" s="21" t="s">
        <v>6</v>
      </c>
      <c r="B96" s="46">
        <v>0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6.7064399999999996E-2</v>
      </c>
      <c r="K96" s="35"/>
      <c r="R96" s="18"/>
      <c r="S96" s="18"/>
      <c r="T96" s="18"/>
      <c r="U96" s="18"/>
      <c r="V96" s="18"/>
      <c r="W96" s="18"/>
      <c r="X96" s="18"/>
      <c r="Y96" s="18"/>
      <c r="Z96" s="18"/>
    </row>
    <row r="97" spans="1:26" x14ac:dyDescent="0.25">
      <c r="A97" s="21" t="s">
        <v>123</v>
      </c>
      <c r="B97" s="46">
        <v>0</v>
      </c>
      <c r="C97" s="46">
        <v>4.9542209999999996E-2</v>
      </c>
      <c r="D97" s="46">
        <v>0</v>
      </c>
      <c r="E97" s="46">
        <v>2.0000000000000002E-5</v>
      </c>
      <c r="F97" s="46">
        <v>0</v>
      </c>
      <c r="G97" s="46">
        <v>0</v>
      </c>
      <c r="H97" s="46">
        <v>0</v>
      </c>
      <c r="I97" s="46">
        <v>0</v>
      </c>
      <c r="J97" s="46">
        <v>5.5720120000000005E-2</v>
      </c>
      <c r="K97" s="35"/>
      <c r="R97" s="18"/>
      <c r="S97" s="18"/>
      <c r="T97" s="18"/>
      <c r="U97" s="18"/>
      <c r="V97" s="18"/>
      <c r="W97" s="18"/>
      <c r="X97" s="18"/>
      <c r="Y97" s="18"/>
      <c r="Z97" s="18"/>
    </row>
    <row r="98" spans="1:26" x14ac:dyDescent="0.25">
      <c r="A98" s="21" t="s">
        <v>136</v>
      </c>
      <c r="B98" s="46">
        <v>0</v>
      </c>
      <c r="C98" s="46">
        <v>0</v>
      </c>
      <c r="D98" s="46">
        <v>0</v>
      </c>
      <c r="E98" s="46">
        <v>1.39E-3</v>
      </c>
      <c r="F98" s="46">
        <v>0</v>
      </c>
      <c r="G98" s="46">
        <v>0</v>
      </c>
      <c r="H98" s="46">
        <v>0</v>
      </c>
      <c r="I98" s="46">
        <v>0</v>
      </c>
      <c r="J98" s="46">
        <v>4.76537E-2</v>
      </c>
      <c r="K98" s="35"/>
      <c r="R98" s="18"/>
      <c r="S98" s="18"/>
      <c r="T98" s="18"/>
      <c r="U98" s="18"/>
      <c r="V98" s="18"/>
      <c r="W98" s="18"/>
      <c r="X98" s="18"/>
      <c r="Y98" s="18"/>
      <c r="Z98" s="18"/>
    </row>
    <row r="99" spans="1:26" x14ac:dyDescent="0.25">
      <c r="A99" s="21" t="s">
        <v>95</v>
      </c>
      <c r="B99" s="46">
        <v>0</v>
      </c>
      <c r="C99" s="46">
        <v>0</v>
      </c>
      <c r="D99" s="46">
        <v>0</v>
      </c>
      <c r="E99" s="46">
        <v>0.15673313</v>
      </c>
      <c r="F99" s="46">
        <v>0.44430163</v>
      </c>
      <c r="G99" s="46">
        <v>1.5910000000000002E-5</v>
      </c>
      <c r="H99" s="46">
        <v>3.80584E-3</v>
      </c>
      <c r="I99" s="46">
        <v>0.44810746999999995</v>
      </c>
      <c r="J99" s="46">
        <v>4.7367300000000001E-2</v>
      </c>
      <c r="K99" s="35"/>
      <c r="R99" s="18"/>
      <c r="S99" s="18"/>
      <c r="T99" s="18"/>
      <c r="U99" s="18"/>
      <c r="V99" s="18"/>
      <c r="W99" s="18"/>
      <c r="X99" s="18"/>
      <c r="Y99" s="18"/>
      <c r="Z99" s="18"/>
    </row>
    <row r="100" spans="1:26" x14ac:dyDescent="0.25">
      <c r="A100" s="21" t="s">
        <v>144</v>
      </c>
      <c r="B100" s="46">
        <v>0</v>
      </c>
      <c r="C100" s="46">
        <v>0</v>
      </c>
      <c r="D100" s="46">
        <v>0</v>
      </c>
      <c r="E100" s="46">
        <v>0.26074950000000002</v>
      </c>
      <c r="F100" s="46">
        <v>0</v>
      </c>
      <c r="G100" s="46">
        <v>0</v>
      </c>
      <c r="H100" s="46">
        <v>0</v>
      </c>
      <c r="I100" s="46">
        <v>0</v>
      </c>
      <c r="J100" s="46">
        <v>4.5730430000000002E-2</v>
      </c>
      <c r="K100" s="35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x14ac:dyDescent="0.25">
      <c r="A101" s="21" t="s">
        <v>166</v>
      </c>
      <c r="B101" s="46">
        <v>0</v>
      </c>
      <c r="C101" s="46">
        <v>0</v>
      </c>
      <c r="D101" s="46">
        <v>0</v>
      </c>
      <c r="E101" s="46">
        <v>0.21212700000000001</v>
      </c>
      <c r="F101" s="46">
        <v>0</v>
      </c>
      <c r="G101" s="46">
        <v>3.2989999999999998E-3</v>
      </c>
      <c r="H101" s="46">
        <v>6.2427099999999999E-2</v>
      </c>
      <c r="I101" s="46">
        <v>7.2888820000000007E-2</v>
      </c>
      <c r="J101" s="46">
        <v>4.332105E-2</v>
      </c>
      <c r="K101" s="35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x14ac:dyDescent="0.25">
      <c r="A102" s="21" t="s">
        <v>147</v>
      </c>
      <c r="B102" s="46">
        <v>0</v>
      </c>
      <c r="C102" s="46">
        <v>2.3455990000000003E-2</v>
      </c>
      <c r="D102" s="46">
        <v>0</v>
      </c>
      <c r="E102" s="46">
        <v>2.6223100000000001E-3</v>
      </c>
      <c r="F102" s="46">
        <v>0</v>
      </c>
      <c r="G102" s="46">
        <v>0</v>
      </c>
      <c r="H102" s="46">
        <v>0</v>
      </c>
      <c r="I102" s="46">
        <v>0</v>
      </c>
      <c r="J102" s="46">
        <v>4.2178889999999997E-2</v>
      </c>
      <c r="K102" s="35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x14ac:dyDescent="0.25">
      <c r="A103" s="21" t="s">
        <v>158</v>
      </c>
      <c r="B103" s="46">
        <v>0</v>
      </c>
      <c r="C103" s="46">
        <v>0</v>
      </c>
      <c r="D103" s="46">
        <v>0</v>
      </c>
      <c r="E103" s="46">
        <v>0.22638957999999998</v>
      </c>
      <c r="F103" s="46">
        <v>0</v>
      </c>
      <c r="G103" s="46">
        <v>0</v>
      </c>
      <c r="H103" s="46">
        <v>0</v>
      </c>
      <c r="I103" s="46">
        <v>0</v>
      </c>
      <c r="J103" s="46">
        <v>4.1945429999999999E-2</v>
      </c>
      <c r="K103" s="35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x14ac:dyDescent="0.25">
      <c r="A104" s="21" t="s">
        <v>66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4.1739129999999999E-2</v>
      </c>
      <c r="K104" s="35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x14ac:dyDescent="0.25">
      <c r="A105" s="21" t="s">
        <v>21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1.0000000000000001E-5</v>
      </c>
      <c r="J105" s="46">
        <v>4.0818E-2</v>
      </c>
      <c r="K105" s="35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x14ac:dyDescent="0.25">
      <c r="A106" s="21" t="s">
        <v>118</v>
      </c>
      <c r="B106" s="46">
        <v>0</v>
      </c>
      <c r="C106" s="46">
        <v>0</v>
      </c>
      <c r="D106" s="46">
        <v>0</v>
      </c>
      <c r="E106" s="46">
        <v>2.0929908099999999</v>
      </c>
      <c r="F106" s="46">
        <v>0</v>
      </c>
      <c r="G106" s="46">
        <v>0</v>
      </c>
      <c r="H106" s="46">
        <v>0</v>
      </c>
      <c r="I106" s="46">
        <v>0</v>
      </c>
      <c r="J106" s="46">
        <v>3.7794010000000003E-2</v>
      </c>
      <c r="K106" s="35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x14ac:dyDescent="0.25">
      <c r="A107" s="21" t="s">
        <v>100</v>
      </c>
      <c r="B107" s="46">
        <v>0</v>
      </c>
      <c r="C107" s="46">
        <v>0</v>
      </c>
      <c r="D107" s="46">
        <v>0</v>
      </c>
      <c r="E107" s="46">
        <v>3.3466469999999998E-2</v>
      </c>
      <c r="F107" s="46">
        <v>2.3874182200000003</v>
      </c>
      <c r="G107" s="46">
        <v>0</v>
      </c>
      <c r="H107" s="46">
        <v>0</v>
      </c>
      <c r="I107" s="46">
        <v>2.3874182200000003</v>
      </c>
      <c r="J107" s="46">
        <v>3.3629779999999998E-2</v>
      </c>
      <c r="K107" s="35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x14ac:dyDescent="0.25">
      <c r="A108" s="21" t="s">
        <v>197</v>
      </c>
      <c r="B108" s="46">
        <v>0</v>
      </c>
      <c r="C108" s="46">
        <v>7.1890000000000005E-5</v>
      </c>
      <c r="D108" s="46">
        <v>0</v>
      </c>
      <c r="E108" s="46">
        <v>2.031094E-2</v>
      </c>
      <c r="F108" s="46">
        <v>2.48043E-3</v>
      </c>
      <c r="G108" s="46">
        <v>4.4551999999999994E-3</v>
      </c>
      <c r="H108" s="46">
        <v>7.0749999999999997E-3</v>
      </c>
      <c r="I108" s="46">
        <v>9.5554300000000002E-3</v>
      </c>
      <c r="J108" s="46">
        <v>3.1753740000000003E-2</v>
      </c>
      <c r="K108" s="35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x14ac:dyDescent="0.25">
      <c r="A109" s="21" t="s">
        <v>190</v>
      </c>
      <c r="B109" s="46">
        <v>0</v>
      </c>
      <c r="C109" s="46">
        <v>1.0542E-4</v>
      </c>
      <c r="D109" s="46">
        <v>0</v>
      </c>
      <c r="E109" s="46">
        <v>6.7010000000000004E-3</v>
      </c>
      <c r="F109" s="46">
        <v>1.3130399999999999E-3</v>
      </c>
      <c r="G109" s="46">
        <v>0</v>
      </c>
      <c r="H109" s="46">
        <v>0</v>
      </c>
      <c r="I109" s="46">
        <v>1.36304E-3</v>
      </c>
      <c r="J109" s="46">
        <v>3.1671539999999998E-2</v>
      </c>
      <c r="K109" s="35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x14ac:dyDescent="0.25">
      <c r="A110" s="21" t="s">
        <v>89</v>
      </c>
      <c r="B110" s="46">
        <v>0</v>
      </c>
      <c r="C110" s="46">
        <v>0</v>
      </c>
      <c r="D110" s="46">
        <v>0</v>
      </c>
      <c r="E110" s="46">
        <v>7.2228199999999996E-3</v>
      </c>
      <c r="F110" s="46">
        <v>0</v>
      </c>
      <c r="G110" s="46">
        <v>0</v>
      </c>
      <c r="H110" s="46">
        <v>2.0858199999999999E-3</v>
      </c>
      <c r="I110" s="46">
        <v>2.0858199999999999E-3</v>
      </c>
      <c r="J110" s="46">
        <v>2.913284E-2</v>
      </c>
      <c r="K110" s="35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x14ac:dyDescent="0.25">
      <c r="A111" s="21" t="s">
        <v>107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2.8405099999999999E-2</v>
      </c>
      <c r="K111" s="35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x14ac:dyDescent="0.25">
      <c r="A112" s="21" t="s">
        <v>74</v>
      </c>
      <c r="B112" s="46">
        <v>0</v>
      </c>
      <c r="C112" s="46">
        <v>0</v>
      </c>
      <c r="D112" s="46">
        <v>0</v>
      </c>
      <c r="E112" s="46">
        <v>0.16237466</v>
      </c>
      <c r="F112" s="46">
        <v>4.3567600000000003E-3</v>
      </c>
      <c r="G112" s="46">
        <v>0</v>
      </c>
      <c r="H112" s="46">
        <v>4.0000000000000003E-5</v>
      </c>
      <c r="I112" s="46">
        <v>4.3967600000000004E-3</v>
      </c>
      <c r="J112" s="46">
        <v>2.68142E-2</v>
      </c>
      <c r="K112" s="35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x14ac:dyDescent="0.25">
      <c r="A113" s="21" t="s">
        <v>213</v>
      </c>
      <c r="B113" s="46">
        <v>0</v>
      </c>
      <c r="C113" s="46">
        <v>0</v>
      </c>
      <c r="D113" s="46">
        <v>0</v>
      </c>
      <c r="E113" s="46">
        <v>7.5000000000000002E-4</v>
      </c>
      <c r="F113" s="46">
        <v>0</v>
      </c>
      <c r="G113" s="46">
        <v>0</v>
      </c>
      <c r="H113" s="46">
        <v>4.6299999999999998E-4</v>
      </c>
      <c r="I113" s="46">
        <v>1.3012899999999999E-3</v>
      </c>
      <c r="J113" s="46">
        <v>2.5291029999999999E-2</v>
      </c>
      <c r="K113" s="35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x14ac:dyDescent="0.25">
      <c r="A114" s="21" t="s">
        <v>103</v>
      </c>
      <c r="B114" s="46">
        <v>0</v>
      </c>
      <c r="C114" s="46">
        <v>0</v>
      </c>
      <c r="D114" s="46">
        <v>0</v>
      </c>
      <c r="E114" s="46">
        <v>1.0880449999999999</v>
      </c>
      <c r="F114" s="46">
        <v>0</v>
      </c>
      <c r="G114" s="46">
        <v>0</v>
      </c>
      <c r="H114" s="46">
        <v>0</v>
      </c>
      <c r="I114" s="46">
        <v>0</v>
      </c>
      <c r="J114" s="46">
        <v>2.379595E-2</v>
      </c>
      <c r="K114" s="35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x14ac:dyDescent="0.25">
      <c r="A115" s="21" t="s">
        <v>12</v>
      </c>
      <c r="B115" s="46">
        <v>0</v>
      </c>
      <c r="C115" s="46">
        <v>0</v>
      </c>
      <c r="D115" s="46">
        <v>0</v>
      </c>
      <c r="E115" s="46">
        <v>0.20258799999999999</v>
      </c>
      <c r="F115" s="46">
        <v>0</v>
      </c>
      <c r="G115" s="46">
        <v>0</v>
      </c>
      <c r="H115" s="46">
        <v>0</v>
      </c>
      <c r="I115" s="46">
        <v>0</v>
      </c>
      <c r="J115" s="46">
        <v>2.3174279999999998E-2</v>
      </c>
      <c r="K115" s="35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x14ac:dyDescent="0.25">
      <c r="A116" s="21" t="s">
        <v>114</v>
      </c>
      <c r="B116" s="46">
        <v>0</v>
      </c>
      <c r="C116" s="46">
        <v>0</v>
      </c>
      <c r="D116" s="46">
        <v>0</v>
      </c>
      <c r="E116" s="46">
        <v>7.1024000000000004E-2</v>
      </c>
      <c r="F116" s="46">
        <v>4.4999999999999999E-4</v>
      </c>
      <c r="G116" s="46">
        <v>0</v>
      </c>
      <c r="H116" s="46">
        <v>0</v>
      </c>
      <c r="I116" s="46">
        <v>4.4999999999999999E-4</v>
      </c>
      <c r="J116" s="46">
        <v>2.1005040000000003E-2</v>
      </c>
      <c r="K116" s="35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x14ac:dyDescent="0.25">
      <c r="A117" s="21" t="s">
        <v>33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1.7644799999999999E-2</v>
      </c>
      <c r="K117" s="35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x14ac:dyDescent="0.25">
      <c r="A118" s="21" t="s">
        <v>181</v>
      </c>
      <c r="B118" s="46">
        <v>0</v>
      </c>
      <c r="C118" s="46">
        <v>0</v>
      </c>
      <c r="D118" s="46">
        <v>0</v>
      </c>
      <c r="E118" s="46">
        <v>6.5263000000000002E-2</v>
      </c>
      <c r="F118" s="46">
        <v>0</v>
      </c>
      <c r="G118" s="46">
        <v>0</v>
      </c>
      <c r="H118" s="46">
        <v>0</v>
      </c>
      <c r="I118" s="46">
        <v>0</v>
      </c>
      <c r="J118" s="46">
        <v>1.40514E-2</v>
      </c>
      <c r="K118" s="35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x14ac:dyDescent="0.25">
      <c r="A119" s="21" t="s">
        <v>126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1.3892479999999999E-2</v>
      </c>
      <c r="K119" s="35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x14ac:dyDescent="0.25">
      <c r="A120" s="21" t="s">
        <v>187</v>
      </c>
      <c r="B120" s="46">
        <v>0</v>
      </c>
      <c r="C120" s="46">
        <v>0</v>
      </c>
      <c r="D120" s="46">
        <v>0</v>
      </c>
      <c r="E120" s="46">
        <v>1.0542500000000001E-3</v>
      </c>
      <c r="F120" s="46">
        <v>0</v>
      </c>
      <c r="G120" s="46">
        <v>0</v>
      </c>
      <c r="H120" s="46">
        <v>0</v>
      </c>
      <c r="I120" s="46">
        <v>0</v>
      </c>
      <c r="J120" s="46">
        <v>1.3054129999999999E-2</v>
      </c>
      <c r="K120" s="35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x14ac:dyDescent="0.25">
      <c r="A121" s="21" t="s">
        <v>105</v>
      </c>
      <c r="B121" s="46">
        <v>0</v>
      </c>
      <c r="C121" s="46">
        <v>0</v>
      </c>
      <c r="D121" s="46">
        <v>0</v>
      </c>
      <c r="E121" s="46">
        <v>1.595043</v>
      </c>
      <c r="F121" s="46">
        <v>6.3543000000000002E-3</v>
      </c>
      <c r="G121" s="46">
        <v>0</v>
      </c>
      <c r="H121" s="46">
        <v>4.9275000000000002E-4</v>
      </c>
      <c r="I121" s="46">
        <v>6.8470500000000004E-3</v>
      </c>
      <c r="J121" s="46">
        <v>1.2621139999999999E-2</v>
      </c>
      <c r="K121" s="35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x14ac:dyDescent="0.25">
      <c r="A122" s="21" t="s">
        <v>87</v>
      </c>
      <c r="B122" s="46">
        <v>0</v>
      </c>
      <c r="C122" s="46">
        <v>0</v>
      </c>
      <c r="D122" s="46">
        <v>0</v>
      </c>
      <c r="E122" s="46">
        <v>1.581</v>
      </c>
      <c r="F122" s="46">
        <v>0</v>
      </c>
      <c r="G122" s="46">
        <v>0</v>
      </c>
      <c r="H122" s="46">
        <v>0</v>
      </c>
      <c r="I122" s="46">
        <v>0</v>
      </c>
      <c r="J122" s="46">
        <v>1.217377E-2</v>
      </c>
      <c r="K122" s="35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x14ac:dyDescent="0.25">
      <c r="A123" s="21" t="s">
        <v>204</v>
      </c>
      <c r="B123" s="46">
        <v>0</v>
      </c>
      <c r="C123" s="46">
        <v>0</v>
      </c>
      <c r="D123" s="46">
        <v>0</v>
      </c>
      <c r="E123" s="46">
        <v>7.4729999999999996E-3</v>
      </c>
      <c r="F123" s="46">
        <v>0</v>
      </c>
      <c r="G123" s="46">
        <v>0</v>
      </c>
      <c r="H123" s="46">
        <v>5.0000000000000001E-3</v>
      </c>
      <c r="I123" s="46">
        <v>5.0000000000000001E-3</v>
      </c>
      <c r="J123" s="46">
        <v>1.2092530000000001E-2</v>
      </c>
      <c r="K123" s="35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x14ac:dyDescent="0.25">
      <c r="A124" s="21" t="s">
        <v>106</v>
      </c>
      <c r="B124" s="46">
        <v>0</v>
      </c>
      <c r="C124" s="46">
        <v>3.7366000000000001E-3</v>
      </c>
      <c r="D124" s="46">
        <v>0</v>
      </c>
      <c r="E124" s="46">
        <v>1.09654973</v>
      </c>
      <c r="F124" s="46">
        <v>1.9674000000000002E-4</v>
      </c>
      <c r="G124" s="46">
        <v>0</v>
      </c>
      <c r="H124" s="46">
        <v>2.9296599999999997E-3</v>
      </c>
      <c r="I124" s="46">
        <v>3.1264000000000001E-3</v>
      </c>
      <c r="J124" s="46">
        <v>1.0806629999999999E-2</v>
      </c>
      <c r="K124" s="35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x14ac:dyDescent="0.25">
      <c r="A125" s="21" t="s">
        <v>196</v>
      </c>
      <c r="B125" s="46">
        <v>8.0000000000000007E-5</v>
      </c>
      <c r="C125" s="46">
        <v>8.0000000000000007E-5</v>
      </c>
      <c r="D125" s="46">
        <v>0</v>
      </c>
      <c r="E125" s="46">
        <v>1.6025500000000002E-2</v>
      </c>
      <c r="F125" s="46">
        <v>4.1847999999999999E-4</v>
      </c>
      <c r="G125" s="46">
        <v>1.1407799999999999E-3</v>
      </c>
      <c r="H125" s="46">
        <v>0</v>
      </c>
      <c r="I125" s="46">
        <v>4.1847999999999999E-4</v>
      </c>
      <c r="J125" s="46">
        <v>1.0430479999999999E-2</v>
      </c>
      <c r="K125" s="35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x14ac:dyDescent="0.25">
      <c r="A126" s="21" t="s">
        <v>193</v>
      </c>
      <c r="B126" s="46">
        <v>0</v>
      </c>
      <c r="C126" s="46">
        <v>0</v>
      </c>
      <c r="D126" s="46">
        <v>0</v>
      </c>
      <c r="E126" s="46">
        <v>1.9039E-2</v>
      </c>
      <c r="F126" s="46">
        <v>0</v>
      </c>
      <c r="G126" s="46">
        <v>0</v>
      </c>
      <c r="H126" s="46">
        <v>3.9800000000000002E-4</v>
      </c>
      <c r="I126" s="46">
        <v>3.9800000000000002E-4</v>
      </c>
      <c r="J126" s="46">
        <v>9.8919999999999998E-3</v>
      </c>
      <c r="K126" s="35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x14ac:dyDescent="0.25">
      <c r="A127" s="21" t="s">
        <v>210</v>
      </c>
      <c r="B127" s="46">
        <v>0</v>
      </c>
      <c r="C127" s="46">
        <v>1.0849999999999999E-5</v>
      </c>
      <c r="D127" s="46">
        <v>0</v>
      </c>
      <c r="E127" s="46">
        <v>2.55025E-3</v>
      </c>
      <c r="F127" s="46">
        <v>2.5371169999999998E-2</v>
      </c>
      <c r="G127" s="46">
        <v>2.2539999999999999E-3</v>
      </c>
      <c r="H127" s="46">
        <v>4.1664799999999993E-3</v>
      </c>
      <c r="I127" s="46">
        <v>2.9537650000000002E-2</v>
      </c>
      <c r="J127" s="46">
        <v>9.3065999999999999E-3</v>
      </c>
      <c r="K127" s="35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x14ac:dyDescent="0.25">
      <c r="A128" s="21" t="s">
        <v>160</v>
      </c>
      <c r="B128" s="46">
        <v>0</v>
      </c>
      <c r="C128" s="46">
        <v>0</v>
      </c>
      <c r="D128" s="46">
        <v>0</v>
      </c>
      <c r="E128" s="46">
        <v>5.1739210000000001E-2</v>
      </c>
      <c r="F128" s="46">
        <v>0</v>
      </c>
      <c r="G128" s="46">
        <v>0</v>
      </c>
      <c r="H128" s="46">
        <v>0</v>
      </c>
      <c r="I128" s="46">
        <v>2.0899999999999998E-2</v>
      </c>
      <c r="J128" s="46">
        <v>9.16317E-3</v>
      </c>
      <c r="K128" s="35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x14ac:dyDescent="0.25">
      <c r="A129" s="21" t="s">
        <v>22</v>
      </c>
      <c r="B129" s="46">
        <v>0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1.17E-4</v>
      </c>
      <c r="J129" s="46">
        <v>9.1335400000000008E-3</v>
      </c>
      <c r="K129" s="35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x14ac:dyDescent="0.25">
      <c r="A130" s="21" t="s">
        <v>164</v>
      </c>
      <c r="B130" s="46">
        <v>0</v>
      </c>
      <c r="C130" s="46">
        <v>7.5142200000000003E-3</v>
      </c>
      <c r="D130" s="46">
        <v>0</v>
      </c>
      <c r="E130" s="46">
        <v>0.237538</v>
      </c>
      <c r="F130" s="46">
        <v>0</v>
      </c>
      <c r="G130" s="46">
        <v>0</v>
      </c>
      <c r="H130" s="46">
        <v>7.3003599999999997E-3</v>
      </c>
      <c r="I130" s="46">
        <v>7.3003599999999997E-3</v>
      </c>
      <c r="J130" s="46">
        <v>7.5142200000000003E-3</v>
      </c>
      <c r="K130" s="35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x14ac:dyDescent="0.25">
      <c r="A131" s="21" t="s">
        <v>13</v>
      </c>
      <c r="B131" s="46">
        <v>0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6.8252499999999997E-3</v>
      </c>
      <c r="K131" s="35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x14ac:dyDescent="0.25">
      <c r="A132" s="21" t="s">
        <v>149</v>
      </c>
      <c r="B132" s="46">
        <v>0</v>
      </c>
      <c r="C132" s="46">
        <v>0</v>
      </c>
      <c r="D132" s="46">
        <v>0</v>
      </c>
      <c r="E132" s="46">
        <v>2.9642999999999999E-2</v>
      </c>
      <c r="F132" s="46">
        <v>0</v>
      </c>
      <c r="G132" s="46">
        <v>0</v>
      </c>
      <c r="H132" s="46">
        <v>0</v>
      </c>
      <c r="I132" s="46">
        <v>0</v>
      </c>
      <c r="J132" s="46">
        <v>6.2076400000000004E-3</v>
      </c>
      <c r="K132" s="35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x14ac:dyDescent="0.25">
      <c r="A133" s="21" t="s">
        <v>169</v>
      </c>
      <c r="B133" s="46">
        <v>0</v>
      </c>
      <c r="C133" s="46">
        <v>0</v>
      </c>
      <c r="D133" s="46">
        <v>0</v>
      </c>
      <c r="E133" s="46">
        <v>1.4928E-2</v>
      </c>
      <c r="F133" s="46">
        <v>0</v>
      </c>
      <c r="G133" s="46">
        <v>0</v>
      </c>
      <c r="H133" s="46">
        <v>0</v>
      </c>
      <c r="I133" s="46">
        <v>0</v>
      </c>
      <c r="J133" s="46">
        <v>5.0000000000000001E-3</v>
      </c>
      <c r="K133" s="35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x14ac:dyDescent="0.25">
      <c r="A134" s="21" t="s">
        <v>92</v>
      </c>
      <c r="B134" s="46">
        <v>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4.6850099999999999E-3</v>
      </c>
      <c r="K134" s="35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x14ac:dyDescent="0.25">
      <c r="A135" s="21" t="s">
        <v>685</v>
      </c>
      <c r="B135" s="46">
        <v>0</v>
      </c>
      <c r="C135" s="46">
        <v>0</v>
      </c>
      <c r="D135" s="46">
        <v>0</v>
      </c>
      <c r="E135" s="46">
        <v>6.0087370000000001E-2</v>
      </c>
      <c r="F135" s="46">
        <v>0</v>
      </c>
      <c r="G135" s="46">
        <v>0</v>
      </c>
      <c r="H135" s="46">
        <v>0</v>
      </c>
      <c r="I135" s="46">
        <v>0</v>
      </c>
      <c r="J135" s="46">
        <v>4.5336499999999993E-3</v>
      </c>
      <c r="K135" s="35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x14ac:dyDescent="0.25">
      <c r="A136" s="21" t="s">
        <v>14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1.39210868</v>
      </c>
      <c r="J136" s="46">
        <v>4.4447000000000002E-3</v>
      </c>
      <c r="K136" s="35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x14ac:dyDescent="0.25">
      <c r="A137" s="21" t="s">
        <v>161</v>
      </c>
      <c r="B137" s="46">
        <v>0</v>
      </c>
      <c r="C137" s="46">
        <v>0</v>
      </c>
      <c r="D137" s="46">
        <v>0</v>
      </c>
      <c r="E137" s="46">
        <v>1.7253999999999999E-2</v>
      </c>
      <c r="F137" s="46">
        <v>0</v>
      </c>
      <c r="G137" s="46">
        <v>0</v>
      </c>
      <c r="H137" s="46">
        <v>1.1568E-2</v>
      </c>
      <c r="I137" s="46">
        <v>1.1568E-2</v>
      </c>
      <c r="J137" s="46">
        <v>4.26392E-3</v>
      </c>
      <c r="K137" s="35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x14ac:dyDescent="0.25">
      <c r="A138" s="21" t="s">
        <v>130</v>
      </c>
      <c r="B138" s="46">
        <v>0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3.8913000000000003E-3</v>
      </c>
      <c r="K138" s="35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x14ac:dyDescent="0.25">
      <c r="A139" s="21" t="s">
        <v>174</v>
      </c>
      <c r="B139" s="46">
        <v>0</v>
      </c>
      <c r="C139" s="46">
        <v>0</v>
      </c>
      <c r="D139" s="46">
        <v>0</v>
      </c>
      <c r="E139" s="46">
        <v>1.7378411699999998</v>
      </c>
      <c r="F139" s="46">
        <v>0</v>
      </c>
      <c r="G139" s="46">
        <v>0</v>
      </c>
      <c r="H139" s="46">
        <v>0</v>
      </c>
      <c r="I139" s="46">
        <v>0</v>
      </c>
      <c r="J139" s="46">
        <v>3.5522399999999999E-3</v>
      </c>
      <c r="K139" s="35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x14ac:dyDescent="0.25">
      <c r="A140" s="21" t="s">
        <v>132</v>
      </c>
      <c r="B140" s="46">
        <v>0</v>
      </c>
      <c r="C140" s="46">
        <v>0</v>
      </c>
      <c r="D140" s="46">
        <v>0</v>
      </c>
      <c r="E140" s="46">
        <v>0.14608075000000001</v>
      </c>
      <c r="F140" s="46">
        <v>0</v>
      </c>
      <c r="G140" s="46">
        <v>0</v>
      </c>
      <c r="H140" s="46">
        <v>0</v>
      </c>
      <c r="I140" s="46">
        <v>0</v>
      </c>
      <c r="J140" s="46">
        <v>3.29525E-3</v>
      </c>
      <c r="K140" s="35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x14ac:dyDescent="0.25">
      <c r="A141" s="21" t="s">
        <v>71</v>
      </c>
      <c r="B141" s="46">
        <v>0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1.8E-5</v>
      </c>
      <c r="J141" s="46">
        <v>3.2173000000000002E-3</v>
      </c>
      <c r="K141" s="35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x14ac:dyDescent="0.25">
      <c r="A142" s="21" t="s">
        <v>35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3.0642800000000004E-3</v>
      </c>
      <c r="K142" s="35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x14ac:dyDescent="0.25">
      <c r="A143" s="21" t="s">
        <v>110</v>
      </c>
      <c r="B143" s="46">
        <v>8.9999999999999998E-4</v>
      </c>
      <c r="C143" s="46">
        <v>8.9999999999999998E-4</v>
      </c>
      <c r="D143" s="46">
        <v>0</v>
      </c>
      <c r="E143" s="46">
        <v>1E-4</v>
      </c>
      <c r="F143" s="46">
        <v>0</v>
      </c>
      <c r="G143" s="46">
        <v>2.0000000000000001E-4</v>
      </c>
      <c r="H143" s="46">
        <v>0</v>
      </c>
      <c r="I143" s="46">
        <v>0</v>
      </c>
      <c r="J143" s="46">
        <v>3.0000000000000001E-3</v>
      </c>
      <c r="K143" s="35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x14ac:dyDescent="0.25">
      <c r="A144" s="21" t="s">
        <v>207</v>
      </c>
      <c r="B144" s="46">
        <v>1.8884999999999999E-2</v>
      </c>
      <c r="C144" s="46">
        <v>2.1262759999999999E-2</v>
      </c>
      <c r="D144" s="46">
        <v>0</v>
      </c>
      <c r="E144" s="46">
        <v>0.23255055999999999</v>
      </c>
      <c r="F144" s="46">
        <v>2.0000000000000002E-5</v>
      </c>
      <c r="G144" s="46">
        <v>1.6000000000000001E-3</v>
      </c>
      <c r="H144" s="46">
        <v>5.9505200000000008E-3</v>
      </c>
      <c r="I144" s="46">
        <v>6.6515200000000002E-3</v>
      </c>
      <c r="J144" s="46">
        <v>2.3850100000000003E-3</v>
      </c>
      <c r="K144" s="35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x14ac:dyDescent="0.25">
      <c r="A145" s="21" t="s">
        <v>43</v>
      </c>
      <c r="B145" s="46">
        <v>0</v>
      </c>
      <c r="C145" s="46">
        <v>0</v>
      </c>
      <c r="D145" s="46">
        <v>0</v>
      </c>
      <c r="E145" s="46">
        <v>5.0000000000000001E-3</v>
      </c>
      <c r="F145" s="46">
        <v>7.8695000000000002E-4</v>
      </c>
      <c r="G145" s="46">
        <v>0</v>
      </c>
      <c r="H145" s="46">
        <v>0</v>
      </c>
      <c r="I145" s="46">
        <v>7.8695000000000002E-4</v>
      </c>
      <c r="J145" s="46">
        <v>2.1799099999999997E-3</v>
      </c>
      <c r="K145" s="35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x14ac:dyDescent="0.25">
      <c r="A146" s="21" t="s">
        <v>191</v>
      </c>
      <c r="B146" s="46">
        <v>0</v>
      </c>
      <c r="C146" s="46">
        <v>0</v>
      </c>
      <c r="D146" s="46">
        <v>0</v>
      </c>
      <c r="E146" s="46">
        <v>3.1849999999999999E-3</v>
      </c>
      <c r="F146" s="46">
        <v>0</v>
      </c>
      <c r="G146" s="46">
        <v>0</v>
      </c>
      <c r="H146" s="46">
        <v>2.3969999999999998E-3</v>
      </c>
      <c r="I146" s="46">
        <v>2.3969999999999998E-3</v>
      </c>
      <c r="J146" s="46">
        <v>2.16E-3</v>
      </c>
      <c r="K146" s="35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x14ac:dyDescent="0.25">
      <c r="A147" s="21" t="s">
        <v>153</v>
      </c>
      <c r="B147" s="46">
        <v>0</v>
      </c>
      <c r="C147" s="46">
        <v>1.7902700000000001E-3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1.7902700000000001E-3</v>
      </c>
      <c r="K147" s="35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x14ac:dyDescent="0.25">
      <c r="A148" s="21" t="s">
        <v>124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1.6003499999999999E-3</v>
      </c>
      <c r="K148" s="35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x14ac:dyDescent="0.25">
      <c r="A149" s="21" t="s">
        <v>20</v>
      </c>
      <c r="B149" s="46">
        <v>5.5999999999999999E-5</v>
      </c>
      <c r="C149" s="46">
        <v>5.5999999999999999E-5</v>
      </c>
      <c r="D149" s="46">
        <v>0</v>
      </c>
      <c r="E149" s="46">
        <v>1.63474915</v>
      </c>
      <c r="F149" s="46">
        <v>0</v>
      </c>
      <c r="G149" s="46">
        <v>0</v>
      </c>
      <c r="H149" s="46">
        <v>0</v>
      </c>
      <c r="I149" s="46">
        <v>0</v>
      </c>
      <c r="J149" s="46">
        <v>1.41522E-3</v>
      </c>
      <c r="K149" s="35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x14ac:dyDescent="0.25">
      <c r="A150" s="21" t="s">
        <v>185</v>
      </c>
      <c r="B150" s="46">
        <v>0</v>
      </c>
      <c r="C150" s="46">
        <v>0</v>
      </c>
      <c r="D150" s="46">
        <v>0</v>
      </c>
      <c r="E150" s="46">
        <v>0.47930103999999996</v>
      </c>
      <c r="F150" s="46">
        <v>0</v>
      </c>
      <c r="G150" s="46">
        <v>0</v>
      </c>
      <c r="H150" s="46">
        <v>8.5371089999999997E-2</v>
      </c>
      <c r="I150" s="46">
        <v>8.5371089999999997E-2</v>
      </c>
      <c r="J150" s="46">
        <v>1.157E-3</v>
      </c>
      <c r="K150" s="35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x14ac:dyDescent="0.25">
      <c r="A151" s="21" t="s">
        <v>19</v>
      </c>
      <c r="B151" s="46">
        <v>0</v>
      </c>
      <c r="C151" s="46">
        <v>0</v>
      </c>
      <c r="D151" s="46">
        <v>0</v>
      </c>
      <c r="E151" s="46">
        <v>0.463175</v>
      </c>
      <c r="F151" s="46">
        <v>0</v>
      </c>
      <c r="G151" s="46">
        <v>0</v>
      </c>
      <c r="H151" s="46">
        <v>0</v>
      </c>
      <c r="I151" s="46">
        <v>0</v>
      </c>
      <c r="J151" s="46">
        <v>1.1146300000000001E-3</v>
      </c>
      <c r="K151" s="35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x14ac:dyDescent="0.25">
      <c r="A152" s="21" t="s">
        <v>198</v>
      </c>
      <c r="B152" s="46">
        <v>0</v>
      </c>
      <c r="C152" s="46">
        <v>0</v>
      </c>
      <c r="D152" s="46">
        <v>0</v>
      </c>
      <c r="E152" s="46">
        <v>8.7929649999999998E-2</v>
      </c>
      <c r="F152" s="46">
        <v>0</v>
      </c>
      <c r="G152" s="46">
        <v>0</v>
      </c>
      <c r="H152" s="46">
        <v>3.5325700000000001E-3</v>
      </c>
      <c r="I152" s="46">
        <v>1.7920869999999998E-2</v>
      </c>
      <c r="J152" s="46">
        <v>1.08E-3</v>
      </c>
      <c r="K152" s="35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x14ac:dyDescent="0.25">
      <c r="A153" s="21" t="s">
        <v>94</v>
      </c>
      <c r="B153" s="46">
        <v>0</v>
      </c>
      <c r="C153" s="46">
        <v>0</v>
      </c>
      <c r="D153" s="46">
        <v>0</v>
      </c>
      <c r="E153" s="46">
        <v>0.93541600000000003</v>
      </c>
      <c r="F153" s="46">
        <v>0</v>
      </c>
      <c r="G153" s="46">
        <v>1.36104E-3</v>
      </c>
      <c r="H153" s="46">
        <v>5.8474899999999995E-3</v>
      </c>
      <c r="I153" s="46">
        <v>0</v>
      </c>
      <c r="J153" s="46">
        <v>4.7899999999999999E-4</v>
      </c>
      <c r="K153" s="35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x14ac:dyDescent="0.25">
      <c r="A154" s="21" t="s">
        <v>24</v>
      </c>
      <c r="B154" s="46">
        <v>0</v>
      </c>
      <c r="C154" s="46">
        <v>0</v>
      </c>
      <c r="D154" s="46">
        <v>0</v>
      </c>
      <c r="E154" s="46">
        <v>5.4599999999999996E-3</v>
      </c>
      <c r="F154" s="46">
        <v>0</v>
      </c>
      <c r="G154" s="46">
        <v>0</v>
      </c>
      <c r="H154" s="46">
        <v>0</v>
      </c>
      <c r="I154" s="46">
        <v>0</v>
      </c>
      <c r="J154" s="46">
        <v>5.8E-5</v>
      </c>
      <c r="K154" s="35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x14ac:dyDescent="0.25">
      <c r="A155" s="21" t="s">
        <v>53</v>
      </c>
      <c r="B155" s="46">
        <v>0</v>
      </c>
      <c r="C155" s="46">
        <v>0</v>
      </c>
      <c r="D155" s="46">
        <v>0</v>
      </c>
      <c r="E155" s="46">
        <v>2.4382069999999999E-2</v>
      </c>
      <c r="F155" s="46">
        <v>0</v>
      </c>
      <c r="G155" s="46">
        <v>1800.5188816700002</v>
      </c>
      <c r="H155" s="46">
        <v>1203.3738903399999</v>
      </c>
      <c r="I155" s="46">
        <v>1203.3738903399999</v>
      </c>
      <c r="J155" s="46">
        <v>0</v>
      </c>
      <c r="K155" s="35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x14ac:dyDescent="0.25">
      <c r="A156" s="21" t="s">
        <v>54</v>
      </c>
      <c r="B156" s="46">
        <v>0</v>
      </c>
      <c r="C156" s="46">
        <v>0</v>
      </c>
      <c r="D156" s="46">
        <v>14.74982982</v>
      </c>
      <c r="E156" s="46">
        <v>118.22631523</v>
      </c>
      <c r="F156" s="46">
        <v>0</v>
      </c>
      <c r="G156" s="46">
        <v>378.34605698000001</v>
      </c>
      <c r="H156" s="46">
        <v>137.03005074000001</v>
      </c>
      <c r="I156" s="46">
        <v>137.03309074000001</v>
      </c>
      <c r="J156" s="46">
        <v>0</v>
      </c>
      <c r="K156" s="35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x14ac:dyDescent="0.25">
      <c r="A157" s="21" t="s">
        <v>1</v>
      </c>
      <c r="B157" s="46">
        <v>0</v>
      </c>
      <c r="C157" s="46">
        <v>0</v>
      </c>
      <c r="D157" s="46">
        <v>0</v>
      </c>
      <c r="E157" s="46">
        <v>0</v>
      </c>
      <c r="F157" s="46">
        <v>7.7472845999999995</v>
      </c>
      <c r="G157" s="46">
        <v>0</v>
      </c>
      <c r="H157" s="46">
        <v>102.15911506</v>
      </c>
      <c r="I157" s="46">
        <v>109.90639965999999</v>
      </c>
      <c r="J157" s="46">
        <v>0</v>
      </c>
      <c r="K157" s="35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x14ac:dyDescent="0.25">
      <c r="A158" s="21" t="s">
        <v>121</v>
      </c>
      <c r="B158" s="46">
        <v>0</v>
      </c>
      <c r="C158" s="46">
        <v>0</v>
      </c>
      <c r="D158" s="46">
        <v>0</v>
      </c>
      <c r="E158" s="46">
        <v>548.46176912999999</v>
      </c>
      <c r="F158" s="46">
        <v>0</v>
      </c>
      <c r="G158" s="46">
        <v>111.43506775</v>
      </c>
      <c r="H158" s="46">
        <v>101.25478879000001</v>
      </c>
      <c r="I158" s="46">
        <v>111.82922428000001</v>
      </c>
      <c r="J158" s="46">
        <v>0</v>
      </c>
      <c r="K158" s="35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x14ac:dyDescent="0.25">
      <c r="A159" s="21" t="s">
        <v>36</v>
      </c>
      <c r="B159" s="46">
        <v>0</v>
      </c>
      <c r="C159" s="46">
        <v>0</v>
      </c>
      <c r="D159" s="46">
        <v>0</v>
      </c>
      <c r="E159" s="46">
        <v>18.76841112</v>
      </c>
      <c r="F159" s="46">
        <v>0</v>
      </c>
      <c r="G159" s="46">
        <v>0.51393785000000003</v>
      </c>
      <c r="H159" s="46">
        <v>64.542855799999998</v>
      </c>
      <c r="I159" s="46">
        <v>84.155874650000001</v>
      </c>
      <c r="J159" s="46">
        <v>0</v>
      </c>
      <c r="K159" s="35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x14ac:dyDescent="0.25">
      <c r="A160" s="21" t="s">
        <v>44</v>
      </c>
      <c r="B160" s="46">
        <v>0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5.1650481699999995</v>
      </c>
      <c r="I160" s="46">
        <v>5.1650481699999995</v>
      </c>
      <c r="J160" s="46">
        <v>0</v>
      </c>
      <c r="K160" s="35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x14ac:dyDescent="0.25">
      <c r="A161" s="21" t="s">
        <v>211</v>
      </c>
      <c r="B161" s="46">
        <v>0</v>
      </c>
      <c r="C161" s="46">
        <v>0</v>
      </c>
      <c r="D161" s="46">
        <v>0</v>
      </c>
      <c r="E161" s="46">
        <v>0.15844637</v>
      </c>
      <c r="F161" s="46">
        <v>0.15272384999999999</v>
      </c>
      <c r="G161" s="46">
        <v>7.9607799999999989E-3</v>
      </c>
      <c r="H161" s="46">
        <v>1.74561974</v>
      </c>
      <c r="I161" s="46">
        <v>2.6811298900000002</v>
      </c>
      <c r="J161" s="46">
        <v>0</v>
      </c>
      <c r="K161" s="35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x14ac:dyDescent="0.25">
      <c r="A162" s="21" t="s">
        <v>11</v>
      </c>
      <c r="B162" s="46">
        <v>0</v>
      </c>
      <c r="C162" s="46">
        <v>0</v>
      </c>
      <c r="D162" s="46">
        <v>0</v>
      </c>
      <c r="E162" s="46">
        <v>32.673270719999998</v>
      </c>
      <c r="F162" s="46">
        <v>0</v>
      </c>
      <c r="G162" s="46">
        <v>0</v>
      </c>
      <c r="H162" s="46">
        <v>1.266416</v>
      </c>
      <c r="I162" s="46">
        <v>1.266416</v>
      </c>
      <c r="J162" s="46">
        <v>0</v>
      </c>
      <c r="K162" s="35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x14ac:dyDescent="0.25">
      <c r="A163" s="21" t="s">
        <v>57</v>
      </c>
      <c r="B163" s="46">
        <v>0</v>
      </c>
      <c r="C163" s="46">
        <v>0</v>
      </c>
      <c r="D163" s="46">
        <v>0</v>
      </c>
      <c r="E163" s="46">
        <v>0.14346575</v>
      </c>
      <c r="F163" s="46">
        <v>2.5766999999999999E-3</v>
      </c>
      <c r="G163" s="46">
        <v>2.0296369999999998E-2</v>
      </c>
      <c r="H163" s="46">
        <v>0.50629820999999997</v>
      </c>
      <c r="I163" s="46">
        <v>0.70965118000000005</v>
      </c>
      <c r="J163" s="46">
        <v>0</v>
      </c>
      <c r="K163" s="35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x14ac:dyDescent="0.25">
      <c r="A164" s="21" t="s">
        <v>3</v>
      </c>
      <c r="B164" s="46">
        <v>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0.46543796999999998</v>
      </c>
      <c r="I164" s="46">
        <v>0.46543796999999998</v>
      </c>
      <c r="J164" s="46">
        <v>0</v>
      </c>
      <c r="K164" s="35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x14ac:dyDescent="0.25">
      <c r="A165" s="21" t="s">
        <v>67</v>
      </c>
      <c r="B165" s="46">
        <v>0</v>
      </c>
      <c r="C165" s="46">
        <v>0</v>
      </c>
      <c r="D165" s="46">
        <v>0</v>
      </c>
      <c r="E165" s="46">
        <v>1.2500000000000001E-2</v>
      </c>
      <c r="F165" s="46">
        <v>0</v>
      </c>
      <c r="G165" s="46">
        <v>0</v>
      </c>
      <c r="H165" s="46">
        <v>0.46046266999999996</v>
      </c>
      <c r="I165" s="46">
        <v>0.46046266999999996</v>
      </c>
      <c r="J165" s="46">
        <v>0</v>
      </c>
      <c r="K165" s="35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x14ac:dyDescent="0.25">
      <c r="A166" s="21" t="s">
        <v>99</v>
      </c>
      <c r="B166" s="46">
        <v>0</v>
      </c>
      <c r="C166" s="46">
        <v>0</v>
      </c>
      <c r="D166" s="46">
        <v>0</v>
      </c>
      <c r="E166" s="46">
        <v>0</v>
      </c>
      <c r="F166" s="46">
        <v>1.647363E-2</v>
      </c>
      <c r="G166" s="46">
        <v>1.8914220000000002E-2</v>
      </c>
      <c r="H166" s="46">
        <v>0.31824548999999996</v>
      </c>
      <c r="I166" s="46">
        <v>0.40363391999999998</v>
      </c>
      <c r="J166" s="46">
        <v>0</v>
      </c>
      <c r="K166" s="35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x14ac:dyDescent="0.25">
      <c r="A167" s="21" t="s">
        <v>184</v>
      </c>
      <c r="B167" s="46">
        <v>0</v>
      </c>
      <c r="C167" s="46">
        <v>0</v>
      </c>
      <c r="D167" s="46">
        <v>0</v>
      </c>
      <c r="E167" s="46">
        <v>35.248990509999999</v>
      </c>
      <c r="F167" s="46">
        <v>0</v>
      </c>
      <c r="G167" s="46">
        <v>0</v>
      </c>
      <c r="H167" s="46">
        <v>0.28377970000000002</v>
      </c>
      <c r="I167" s="46">
        <v>0.36823918</v>
      </c>
      <c r="J167" s="46">
        <v>0</v>
      </c>
      <c r="K167" s="35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x14ac:dyDescent="0.25">
      <c r="A168" s="21" t="s">
        <v>17</v>
      </c>
      <c r="B168" s="46">
        <v>0</v>
      </c>
      <c r="C168" s="46">
        <v>0</v>
      </c>
      <c r="D168" s="46">
        <v>0</v>
      </c>
      <c r="E168" s="46">
        <v>2.3259999999999999E-3</v>
      </c>
      <c r="F168" s="46">
        <v>0</v>
      </c>
      <c r="G168" s="46">
        <v>0</v>
      </c>
      <c r="H168" s="46">
        <v>0.15505044000000001</v>
      </c>
      <c r="I168" s="46">
        <v>0.15505044000000001</v>
      </c>
      <c r="J168" s="46">
        <v>0</v>
      </c>
      <c r="K168" s="35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x14ac:dyDescent="0.25">
      <c r="A169" s="21" t="s">
        <v>39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0.11391</v>
      </c>
      <c r="H169" s="46">
        <v>0.14229138</v>
      </c>
      <c r="I169" s="46">
        <v>0.14229138</v>
      </c>
      <c r="J169" s="46">
        <v>0</v>
      </c>
      <c r="K169" s="35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x14ac:dyDescent="0.25">
      <c r="A170" s="21" t="s">
        <v>32</v>
      </c>
      <c r="B170" s="46">
        <v>0</v>
      </c>
      <c r="C170" s="46">
        <v>0</v>
      </c>
      <c r="D170" s="46">
        <v>0</v>
      </c>
      <c r="E170" s="46">
        <v>2.6602750000000001E-2</v>
      </c>
      <c r="F170" s="46">
        <v>0</v>
      </c>
      <c r="G170" s="46">
        <v>1.6755599999999999E-2</v>
      </c>
      <c r="H170" s="46">
        <v>0.11883497999999999</v>
      </c>
      <c r="I170" s="46">
        <v>0.22210745000000001</v>
      </c>
      <c r="J170" s="46">
        <v>0</v>
      </c>
      <c r="K170" s="35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x14ac:dyDescent="0.25">
      <c r="A171" s="21" t="s">
        <v>167</v>
      </c>
      <c r="B171" s="46">
        <v>0</v>
      </c>
      <c r="C171" s="46">
        <v>0</v>
      </c>
      <c r="D171" s="46">
        <v>0</v>
      </c>
      <c r="E171" s="46">
        <v>6.5319999999999996E-3</v>
      </c>
      <c r="F171" s="46">
        <v>0</v>
      </c>
      <c r="G171" s="46">
        <v>0</v>
      </c>
      <c r="H171" s="46">
        <v>4.1444389999999998E-2</v>
      </c>
      <c r="I171" s="46">
        <v>4.4719389999999998E-2</v>
      </c>
      <c r="J171" s="46">
        <v>0</v>
      </c>
      <c r="K171" s="35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x14ac:dyDescent="0.25">
      <c r="A172" s="21" t="s">
        <v>175</v>
      </c>
      <c r="B172" s="46">
        <v>0</v>
      </c>
      <c r="C172" s="46">
        <v>0</v>
      </c>
      <c r="D172" s="46">
        <v>0</v>
      </c>
      <c r="E172" s="46">
        <v>0.770868</v>
      </c>
      <c r="F172" s="46">
        <v>0</v>
      </c>
      <c r="G172" s="46">
        <v>0</v>
      </c>
      <c r="H172" s="46">
        <v>3.9307679999999998E-2</v>
      </c>
      <c r="I172" s="46">
        <v>3.9307679999999998E-2</v>
      </c>
      <c r="J172" s="46">
        <v>0</v>
      </c>
      <c r="K172" s="35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x14ac:dyDescent="0.25">
      <c r="A173" s="21" t="s">
        <v>108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6.4999999999999994E-5</v>
      </c>
      <c r="H173" s="46">
        <v>3.1574999999999999E-2</v>
      </c>
      <c r="I173" s="46">
        <v>3.1574999999999999E-2</v>
      </c>
      <c r="J173" s="46">
        <v>0</v>
      </c>
      <c r="K173" s="35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x14ac:dyDescent="0.25">
      <c r="A174" s="21" t="s">
        <v>212</v>
      </c>
      <c r="B174" s="46">
        <v>0</v>
      </c>
      <c r="C174" s="46">
        <v>0</v>
      </c>
      <c r="D174" s="46">
        <v>0</v>
      </c>
      <c r="E174" s="46">
        <v>9.4640000000000002E-3</v>
      </c>
      <c r="F174" s="46">
        <v>1.9000000000000001E-4</v>
      </c>
      <c r="G174" s="46">
        <v>0</v>
      </c>
      <c r="H174" s="46">
        <v>2.319835E-2</v>
      </c>
      <c r="I174" s="46">
        <v>3.5657349999999997E-2</v>
      </c>
      <c r="J174" s="46">
        <v>0</v>
      </c>
      <c r="K174" s="35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x14ac:dyDescent="0.25">
      <c r="A175" s="21" t="s">
        <v>31</v>
      </c>
      <c r="B175" s="46">
        <v>0</v>
      </c>
      <c r="C175" s="46">
        <v>0</v>
      </c>
      <c r="D175" s="46">
        <v>0</v>
      </c>
      <c r="E175" s="46">
        <v>4.4560000000000002E-2</v>
      </c>
      <c r="F175" s="46">
        <v>3.5423999999999997E-2</v>
      </c>
      <c r="G175" s="46">
        <v>0</v>
      </c>
      <c r="H175" s="46">
        <v>6.4799999999999996E-3</v>
      </c>
      <c r="I175" s="46">
        <v>4.1903999999999997E-2</v>
      </c>
      <c r="J175" s="46">
        <v>0</v>
      </c>
      <c r="K175" s="35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x14ac:dyDescent="0.25">
      <c r="A176" s="21" t="s">
        <v>7</v>
      </c>
      <c r="B176" s="46">
        <v>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2.9495999999999997E-3</v>
      </c>
      <c r="I176" s="46">
        <v>2.9495999999999997E-3</v>
      </c>
      <c r="J176" s="46">
        <v>0</v>
      </c>
      <c r="K176" s="35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x14ac:dyDescent="0.25">
      <c r="A177" s="21" t="s">
        <v>192</v>
      </c>
      <c r="B177" s="46">
        <v>0</v>
      </c>
      <c r="C177" s="46">
        <v>0</v>
      </c>
      <c r="D177" s="46">
        <v>0</v>
      </c>
      <c r="E177" s="46">
        <v>3.6440000000000001E-3</v>
      </c>
      <c r="F177" s="46">
        <v>0</v>
      </c>
      <c r="G177" s="46">
        <v>0</v>
      </c>
      <c r="H177" s="46">
        <v>1.4474000000000002E-3</v>
      </c>
      <c r="I177" s="46">
        <v>1.4474000000000002E-3</v>
      </c>
      <c r="J177" s="46">
        <v>0</v>
      </c>
      <c r="K177" s="35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x14ac:dyDescent="0.25">
      <c r="A178" s="21" t="s">
        <v>194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8.3000000000000001E-4</v>
      </c>
      <c r="I178" s="46">
        <v>8.3000000000000001E-4</v>
      </c>
      <c r="J178" s="46">
        <v>0</v>
      </c>
      <c r="K178" s="35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x14ac:dyDescent="0.25">
      <c r="A179" s="21" t="s">
        <v>51</v>
      </c>
      <c r="B179" s="46">
        <v>0</v>
      </c>
      <c r="C179" s="46">
        <v>0</v>
      </c>
      <c r="D179" s="46">
        <v>0</v>
      </c>
      <c r="E179" s="46">
        <v>0</v>
      </c>
      <c r="F179" s="46">
        <v>0</v>
      </c>
      <c r="G179" s="46">
        <v>1.0731243400000001</v>
      </c>
      <c r="H179" s="46">
        <v>2.1000000000000001E-4</v>
      </c>
      <c r="I179" s="46">
        <v>1.2999999999999999E-3</v>
      </c>
      <c r="J179" s="46">
        <v>0</v>
      </c>
      <c r="K179" s="35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x14ac:dyDescent="0.25">
      <c r="A180" s="21" t="s">
        <v>73</v>
      </c>
      <c r="B180" s="46">
        <v>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2.0999999999999999E-5</v>
      </c>
      <c r="I180" s="46">
        <v>2.0999999999999999E-5</v>
      </c>
      <c r="J180" s="46">
        <v>0</v>
      </c>
      <c r="K180" s="35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x14ac:dyDescent="0.25">
      <c r="A181" s="21" t="s">
        <v>216</v>
      </c>
      <c r="B181" s="46">
        <v>0</v>
      </c>
      <c r="C181" s="46">
        <v>0</v>
      </c>
      <c r="D181" s="46">
        <v>0</v>
      </c>
      <c r="E181" s="46">
        <v>1806.82536009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35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x14ac:dyDescent="0.25">
      <c r="A182" s="21" t="s">
        <v>40</v>
      </c>
      <c r="B182" s="46">
        <v>0</v>
      </c>
      <c r="C182" s="46">
        <v>0</v>
      </c>
      <c r="D182" s="46">
        <v>0</v>
      </c>
      <c r="E182" s="46">
        <v>2.1214780000000002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35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x14ac:dyDescent="0.25">
      <c r="A183" s="21" t="s">
        <v>37</v>
      </c>
      <c r="B183" s="46">
        <v>0</v>
      </c>
      <c r="C183" s="46">
        <v>0</v>
      </c>
      <c r="D183" s="46">
        <v>0</v>
      </c>
      <c r="E183" s="46">
        <v>1.13852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35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x14ac:dyDescent="0.25">
      <c r="A184" s="21" t="s">
        <v>354</v>
      </c>
      <c r="B184" s="46">
        <v>0</v>
      </c>
      <c r="C184" s="46">
        <v>0</v>
      </c>
      <c r="D184" s="46">
        <v>0</v>
      </c>
      <c r="E184" s="46">
        <v>0.52759999999999996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35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x14ac:dyDescent="0.25">
      <c r="A185" s="21" t="s">
        <v>60</v>
      </c>
      <c r="B185" s="46">
        <v>0</v>
      </c>
      <c r="C185" s="46">
        <v>0</v>
      </c>
      <c r="D185" s="46">
        <v>0</v>
      </c>
      <c r="E185" s="46">
        <v>0.43572290000000002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35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x14ac:dyDescent="0.25">
      <c r="A186" s="21" t="s">
        <v>4</v>
      </c>
      <c r="B186" s="46">
        <v>0</v>
      </c>
      <c r="C186" s="46">
        <v>0</v>
      </c>
      <c r="D186" s="46">
        <v>0</v>
      </c>
      <c r="E186" s="46">
        <v>0.42461129999999997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35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x14ac:dyDescent="0.25">
      <c r="A187" s="21" t="s">
        <v>82</v>
      </c>
      <c r="B187" s="46">
        <v>0</v>
      </c>
      <c r="C187" s="46">
        <v>0</v>
      </c>
      <c r="D187" s="46">
        <v>0</v>
      </c>
      <c r="E187" s="46">
        <v>9.2499999999999999E-2</v>
      </c>
      <c r="F187" s="46">
        <v>0</v>
      </c>
      <c r="G187" s="46">
        <v>3.5400000000000001E-2</v>
      </c>
      <c r="H187" s="46">
        <v>0</v>
      </c>
      <c r="I187" s="46">
        <v>3.8549999999999999E-3</v>
      </c>
      <c r="J187" s="46">
        <v>0</v>
      </c>
      <c r="K187" s="35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x14ac:dyDescent="0.25">
      <c r="A188" s="21" t="s">
        <v>49</v>
      </c>
      <c r="B188" s="46">
        <v>0</v>
      </c>
      <c r="C188" s="46">
        <v>0</v>
      </c>
      <c r="D188" s="46">
        <v>0</v>
      </c>
      <c r="E188" s="46">
        <v>4.5710000000000001E-2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35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x14ac:dyDescent="0.25">
      <c r="A189" s="21" t="s">
        <v>23</v>
      </c>
      <c r="B189" s="46">
        <v>0</v>
      </c>
      <c r="C189" s="46">
        <v>0</v>
      </c>
      <c r="D189" s="46">
        <v>0</v>
      </c>
      <c r="E189" s="46">
        <v>1.2003E-2</v>
      </c>
      <c r="F189" s="46">
        <v>0</v>
      </c>
      <c r="G189" s="46">
        <v>0</v>
      </c>
      <c r="H189" s="46">
        <v>0</v>
      </c>
      <c r="I189" s="46">
        <v>1.74E-4</v>
      </c>
      <c r="J189" s="46">
        <v>0</v>
      </c>
      <c r="K189" s="35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x14ac:dyDescent="0.25">
      <c r="A190" s="21" t="s">
        <v>47</v>
      </c>
      <c r="B190" s="46">
        <v>0</v>
      </c>
      <c r="C190" s="46">
        <v>0</v>
      </c>
      <c r="D190" s="46">
        <v>0</v>
      </c>
      <c r="E190" s="46">
        <v>4.9316899999999999E-3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35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x14ac:dyDescent="0.25">
      <c r="A191" s="21" t="s">
        <v>26</v>
      </c>
      <c r="B191" s="46">
        <v>0</v>
      </c>
      <c r="C191" s="46">
        <v>0</v>
      </c>
      <c r="D191" s="46">
        <v>0</v>
      </c>
      <c r="E191" s="46">
        <v>4.1601499999999996E-3</v>
      </c>
      <c r="F191" s="46">
        <v>1E-4</v>
      </c>
      <c r="G191" s="46">
        <v>0</v>
      </c>
      <c r="H191" s="46">
        <v>0</v>
      </c>
      <c r="I191" s="46">
        <v>6.8999999999999997E-4</v>
      </c>
      <c r="J191" s="46">
        <v>0</v>
      </c>
      <c r="K191" s="35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x14ac:dyDescent="0.25">
      <c r="A192" s="21" t="s">
        <v>111</v>
      </c>
      <c r="B192" s="46">
        <v>0</v>
      </c>
      <c r="C192" s="46">
        <v>0</v>
      </c>
      <c r="D192" s="46">
        <v>0</v>
      </c>
      <c r="E192" s="46">
        <v>3.0051500000000003E-3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35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x14ac:dyDescent="0.25">
      <c r="A193" s="21" t="s">
        <v>205</v>
      </c>
      <c r="B193" s="46">
        <v>0</v>
      </c>
      <c r="C193" s="46">
        <v>0</v>
      </c>
      <c r="D193" s="46">
        <v>0</v>
      </c>
      <c r="E193" s="46">
        <v>1.5182000000000001E-3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35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x14ac:dyDescent="0.25">
      <c r="A194" s="21" t="s">
        <v>109</v>
      </c>
      <c r="B194" s="46">
        <v>0</v>
      </c>
      <c r="C194" s="46">
        <v>0</v>
      </c>
      <c r="D194" s="46">
        <v>0</v>
      </c>
      <c r="E194" s="46">
        <v>1.2800000000000001E-3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35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x14ac:dyDescent="0.25">
      <c r="A195" s="21" t="s">
        <v>141</v>
      </c>
      <c r="B195" s="46">
        <v>0</v>
      </c>
      <c r="C195" s="46">
        <v>0</v>
      </c>
      <c r="D195" s="46">
        <v>0</v>
      </c>
      <c r="E195" s="46">
        <v>7.5000000000000002E-4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35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x14ac:dyDescent="0.25">
      <c r="A196" s="21" t="s">
        <v>56</v>
      </c>
      <c r="B196" s="46">
        <v>0</v>
      </c>
      <c r="C196" s="46">
        <v>0</v>
      </c>
      <c r="D196" s="46">
        <v>0</v>
      </c>
      <c r="E196" s="46">
        <v>9.0000000000000006E-5</v>
      </c>
      <c r="F196" s="46">
        <v>0</v>
      </c>
      <c r="G196" s="46">
        <v>0</v>
      </c>
      <c r="H196" s="46">
        <v>0</v>
      </c>
      <c r="I196" s="46">
        <v>8.3064300000000001E-3</v>
      </c>
      <c r="J196" s="46">
        <v>0</v>
      </c>
      <c r="K196" s="35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x14ac:dyDescent="0.25">
      <c r="A197" s="21" t="s">
        <v>201</v>
      </c>
      <c r="B197" s="46">
        <v>0</v>
      </c>
      <c r="C197" s="46">
        <v>0</v>
      </c>
      <c r="D197" s="46">
        <v>0</v>
      </c>
      <c r="E197" s="46">
        <v>5.0000000000000002E-5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35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x14ac:dyDescent="0.25">
      <c r="A198" s="21" t="s">
        <v>203</v>
      </c>
      <c r="B198" s="46">
        <v>0</v>
      </c>
      <c r="C198" s="46">
        <v>0</v>
      </c>
      <c r="D198" s="46">
        <v>0</v>
      </c>
      <c r="E198" s="46">
        <v>3.4999999999999997E-5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35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x14ac:dyDescent="0.25">
      <c r="A199" s="21" t="s">
        <v>52</v>
      </c>
      <c r="B199" s="46">
        <v>0</v>
      </c>
      <c r="C199" s="46">
        <v>0</v>
      </c>
      <c r="D199" s="46">
        <v>0</v>
      </c>
      <c r="E199" s="46">
        <v>0</v>
      </c>
      <c r="F199" s="46">
        <v>0</v>
      </c>
      <c r="G199" s="46">
        <v>63.812225670000004</v>
      </c>
      <c r="H199" s="46">
        <v>0</v>
      </c>
      <c r="I199" s="46">
        <v>588.17935308000096</v>
      </c>
      <c r="J199" s="46">
        <v>0</v>
      </c>
      <c r="K199" s="35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x14ac:dyDescent="0.25">
      <c r="A200" s="21" t="s">
        <v>356</v>
      </c>
      <c r="B200" s="46">
        <v>0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2.9420000000000002E-3</v>
      </c>
      <c r="J200" s="46">
        <v>0</v>
      </c>
      <c r="K200" s="35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x14ac:dyDescent="0.25">
      <c r="A201" s="21" t="s">
        <v>25</v>
      </c>
      <c r="B201" s="46">
        <v>0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2.0000000000000002E-5</v>
      </c>
      <c r="J201" s="46">
        <v>0</v>
      </c>
      <c r="K201" s="35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x14ac:dyDescent="0.25">
      <c r="A202" s="52" t="s">
        <v>383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1.0000000000000001E-5</v>
      </c>
      <c r="J202" s="47">
        <v>0</v>
      </c>
      <c r="K202" s="35"/>
    </row>
    <row r="203" spans="1:26" x14ac:dyDescent="0.25">
      <c r="A203" s="316" t="s">
        <v>217</v>
      </c>
      <c r="B203" s="306">
        <f>SUBTOTAL(109,Table118[Column2])</f>
        <v>7.5520235900000001</v>
      </c>
      <c r="C203" s="306">
        <f>SUBTOTAL(109,Table118[Column3])</f>
        <v>1463.5704315700004</v>
      </c>
      <c r="D203" s="306">
        <f>SUBTOTAL(109,Table118[Column4])</f>
        <v>14.774829820000001</v>
      </c>
      <c r="E203" s="306">
        <f>SUBTOTAL(109,Table118[Column5])</f>
        <v>3359.4888930499997</v>
      </c>
      <c r="F203" s="306">
        <f>SUBTOTAL(109,Table118[Column6])</f>
        <v>17.131263969999999</v>
      </c>
      <c r="G203" s="306">
        <f>SUBTOTAL(109,Table118[Column7])</f>
        <v>2465.4128993100003</v>
      </c>
      <c r="H203" s="306">
        <f>SUBTOTAL(109,Table118[Column8])</f>
        <v>2697.1971752400004</v>
      </c>
      <c r="I203" s="306">
        <f>SUBTOTAL(109,Table118[Column9])</f>
        <v>3538.7193802200009</v>
      </c>
      <c r="J203" s="306">
        <f>SUBTOTAL(109,Table118[Column10])</f>
        <v>1579.9495878499993</v>
      </c>
    </row>
    <row r="204" spans="1:26" x14ac:dyDescent="0.25"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26" x14ac:dyDescent="0.25"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26" x14ac:dyDescent="0.25"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26" x14ac:dyDescent="0.25"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26" x14ac:dyDescent="0.25"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2:10" x14ac:dyDescent="0.25"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2:10" x14ac:dyDescent="0.25"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2:10" x14ac:dyDescent="0.25"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2:10" x14ac:dyDescent="0.25"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2:10" x14ac:dyDescent="0.25"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2:10" x14ac:dyDescent="0.25"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2:10" x14ac:dyDescent="0.25"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2:10" x14ac:dyDescent="0.25"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2:10" x14ac:dyDescent="0.25"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2:10" x14ac:dyDescent="0.25"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2:10" x14ac:dyDescent="0.25"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2:10" x14ac:dyDescent="0.25"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2:10" x14ac:dyDescent="0.25"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2:10" x14ac:dyDescent="0.25"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2:10" x14ac:dyDescent="0.25"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2:10" x14ac:dyDescent="0.25"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2:10" x14ac:dyDescent="0.25"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2:10" x14ac:dyDescent="0.25"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2:10" x14ac:dyDescent="0.25"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2:10" x14ac:dyDescent="0.25">
      <c r="B228" s="35"/>
      <c r="C228" s="35"/>
      <c r="D228" s="35"/>
      <c r="E228" s="35"/>
      <c r="F228" s="35"/>
      <c r="G228" s="35"/>
      <c r="H228" s="35"/>
      <c r="I228" s="35"/>
      <c r="J228" s="35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27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7.0898437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2" ht="13" x14ac:dyDescent="0.3">
      <c r="A1" s="319" t="s">
        <v>362</v>
      </c>
      <c r="K1" s="628" t="s">
        <v>239</v>
      </c>
      <c r="L1" s="628"/>
    </row>
    <row r="2" spans="1:12" ht="13" x14ac:dyDescent="0.3">
      <c r="A2" s="632" t="s">
        <v>345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34" t="s">
        <v>233</v>
      </c>
      <c r="I2" s="634" t="s">
        <v>299</v>
      </c>
    </row>
    <row r="3" spans="1:12" ht="13" x14ac:dyDescent="0.3">
      <c r="A3" s="633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06"/>
      <c r="I3" s="606"/>
    </row>
    <row r="4" spans="1:12" x14ac:dyDescent="0.25">
      <c r="A4" s="5" t="s">
        <v>344</v>
      </c>
      <c r="B4" s="4">
        <v>4051.0683007600596</v>
      </c>
      <c r="C4" s="83">
        <f t="shared" ref="C4:C12" si="0">(B4/$B$13)*100</f>
        <v>30.961957244349065</v>
      </c>
      <c r="D4" s="4">
        <v>4304.7392553500304</v>
      </c>
      <c r="E4" s="83">
        <f t="shared" ref="E4:E12" si="1">(D4/$D$13)*100</f>
        <v>38.760112526591165</v>
      </c>
      <c r="F4" s="4">
        <v>3589.2152070500001</v>
      </c>
      <c r="G4" s="83">
        <f t="shared" ref="G4:G12" si="2">(F4/$F$13)*100</f>
        <v>31.920284990777304</v>
      </c>
      <c r="H4" s="82">
        <f t="shared" ref="H4:H13" si="3">((F4/D4)-1)*100</f>
        <v>-16.621774417829382</v>
      </c>
      <c r="I4" s="76">
        <f t="shared" ref="I4:I13" si="4">((F4/B4)-1)*100</f>
        <v>-11.400772818947702</v>
      </c>
    </row>
    <row r="5" spans="1:12" x14ac:dyDescent="0.25">
      <c r="A5" s="5" t="s">
        <v>339</v>
      </c>
      <c r="B5" s="4">
        <v>2838.03419781001</v>
      </c>
      <c r="C5" s="80">
        <f t="shared" si="0"/>
        <v>21.690844727082901</v>
      </c>
      <c r="D5" s="4">
        <v>2142.7587858299999</v>
      </c>
      <c r="E5" s="80">
        <f t="shared" si="1"/>
        <v>19.293519706888571</v>
      </c>
      <c r="F5" s="4">
        <v>2839.9473448899798</v>
      </c>
      <c r="G5" s="80">
        <f t="shared" si="2"/>
        <v>25.256754855387147</v>
      </c>
      <c r="H5" s="81">
        <f t="shared" si="3"/>
        <v>32.536959534151364</v>
      </c>
      <c r="I5" s="80">
        <f t="shared" si="4"/>
        <v>6.7410994604855112E-2</v>
      </c>
      <c r="L5" s="2"/>
    </row>
    <row r="6" spans="1:12" x14ac:dyDescent="0.25">
      <c r="A6" s="5" t="s">
        <v>343</v>
      </c>
      <c r="B6" s="4">
        <v>3226.7269127200098</v>
      </c>
      <c r="C6" s="80">
        <f t="shared" si="0"/>
        <v>24.661588818950079</v>
      </c>
      <c r="D6" s="4">
        <v>2049.6378221011</v>
      </c>
      <c r="E6" s="80">
        <f t="shared" si="1"/>
        <v>18.455053351875094</v>
      </c>
      <c r="F6" s="4">
        <v>2077.29742088999</v>
      </c>
      <c r="G6" s="80">
        <f t="shared" si="2"/>
        <v>18.474212846076199</v>
      </c>
      <c r="H6" s="81">
        <f t="shared" si="3"/>
        <v>1.3494871381977136</v>
      </c>
      <c r="I6" s="80">
        <f t="shared" si="4"/>
        <v>-35.622149717686945</v>
      </c>
    </row>
    <row r="7" spans="1:12" x14ac:dyDescent="0.25">
      <c r="A7" s="5" t="s">
        <v>340</v>
      </c>
      <c r="B7" s="4">
        <v>559.47925909000003</v>
      </c>
      <c r="C7" s="80">
        <f t="shared" si="0"/>
        <v>4.2760505656729162</v>
      </c>
      <c r="D7" s="4">
        <v>882.58889120999902</v>
      </c>
      <c r="E7" s="80">
        <f t="shared" si="1"/>
        <v>7.9468796386454388</v>
      </c>
      <c r="F7" s="4">
        <v>1148.14517888</v>
      </c>
      <c r="G7" s="80">
        <f t="shared" si="2"/>
        <v>10.210901048410175</v>
      </c>
      <c r="H7" s="81">
        <f t="shared" si="3"/>
        <v>30.088333346903152</v>
      </c>
      <c r="I7" s="80">
        <f t="shared" si="4"/>
        <v>105.21675472786471</v>
      </c>
      <c r="L7" s="2"/>
    </row>
    <row r="8" spans="1:12" x14ac:dyDescent="0.25">
      <c r="A8" s="5" t="s">
        <v>342</v>
      </c>
      <c r="B8" s="4">
        <v>1646.4392643800002</v>
      </c>
      <c r="C8" s="80">
        <f t="shared" si="0"/>
        <v>12.583589889014412</v>
      </c>
      <c r="D8" s="4">
        <v>1142.31578072</v>
      </c>
      <c r="E8" s="80">
        <f t="shared" si="1"/>
        <v>10.285475048594508</v>
      </c>
      <c r="F8" s="4">
        <v>1140.71708891</v>
      </c>
      <c r="G8" s="80">
        <f t="shared" si="2"/>
        <v>10.144840159023044</v>
      </c>
      <c r="H8" s="81">
        <f t="shared" si="3"/>
        <v>-0.13995182741783907</v>
      </c>
      <c r="I8" s="80">
        <f t="shared" si="4"/>
        <v>-30.71611485531718</v>
      </c>
      <c r="L8" s="2"/>
    </row>
    <row r="9" spans="1:12" x14ac:dyDescent="0.25">
      <c r="A9" s="5" t="s">
        <v>341</v>
      </c>
      <c r="B9" s="4">
        <v>515.01275787999998</v>
      </c>
      <c r="C9" s="80">
        <f t="shared" si="0"/>
        <v>3.93619702407464</v>
      </c>
      <c r="D9" s="4">
        <v>947.50155913999902</v>
      </c>
      <c r="E9" s="80">
        <f t="shared" si="1"/>
        <v>8.5313569238238802</v>
      </c>
      <c r="F9" s="4">
        <v>1108.3474446600001</v>
      </c>
      <c r="G9" s="80">
        <f t="shared" si="2"/>
        <v>9.8569643394063924</v>
      </c>
      <c r="H9" s="81">
        <f t="shared" si="3"/>
        <v>16.975791118063487</v>
      </c>
      <c r="I9" s="80">
        <f t="shared" si="4"/>
        <v>115.20776479837211</v>
      </c>
      <c r="L9" s="2"/>
    </row>
    <row r="10" spans="1:12" x14ac:dyDescent="0.25">
      <c r="A10" s="5" t="s">
        <v>337</v>
      </c>
      <c r="B10" s="4">
        <v>217.17471224000002</v>
      </c>
      <c r="C10" s="80">
        <f t="shared" si="0"/>
        <v>1.6598471454226307</v>
      </c>
      <c r="D10" s="4">
        <v>54.244219740000005</v>
      </c>
      <c r="E10" s="80">
        <f t="shared" si="1"/>
        <v>0.48841798221030147</v>
      </c>
      <c r="F10" s="4">
        <v>55.457684869999994</v>
      </c>
      <c r="G10" s="80">
        <f t="shared" si="2"/>
        <v>0.49320673290974887</v>
      </c>
      <c r="H10" s="81">
        <f t="shared" si="3"/>
        <v>2.2370404364120189</v>
      </c>
      <c r="I10" s="80">
        <f t="shared" si="4"/>
        <v>-74.464022860675584</v>
      </c>
      <c r="L10" s="2"/>
    </row>
    <row r="11" spans="1:12" x14ac:dyDescent="0.25">
      <c r="A11" s="5" t="s">
        <v>338</v>
      </c>
      <c r="B11" s="4">
        <v>113.88791148999999</v>
      </c>
      <c r="C11" s="80">
        <f t="shared" si="0"/>
        <v>0.87043524927486593</v>
      </c>
      <c r="D11" s="4">
        <v>114.25887112999999</v>
      </c>
      <c r="E11" s="80">
        <f t="shared" si="1"/>
        <v>1.0287932530770598</v>
      </c>
      <c r="F11" s="4">
        <v>41.403222670000005</v>
      </c>
      <c r="G11" s="80">
        <f t="shared" si="2"/>
        <v>0.3682149414075524</v>
      </c>
      <c r="H11" s="81">
        <f t="shared" si="3"/>
        <v>-63.763669060853246</v>
      </c>
      <c r="I11" s="80">
        <f t="shared" si="4"/>
        <v>-63.645638831795203</v>
      </c>
      <c r="J11" s="2"/>
      <c r="L11" s="2"/>
    </row>
    <row r="12" spans="1:12" x14ac:dyDescent="0.25">
      <c r="A12" s="132" t="s">
        <v>336</v>
      </c>
      <c r="B12" s="347">
        <v>2.5067321099999997</v>
      </c>
      <c r="C12" s="80">
        <f t="shared" si="0"/>
        <v>1.9158732129570644E-2</v>
      </c>
      <c r="D12" s="347">
        <v>2.85877808</v>
      </c>
      <c r="E12" s="80">
        <f t="shared" si="1"/>
        <v>2.5740597396611012E-2</v>
      </c>
      <c r="F12" s="347">
        <v>6.7289742600000002</v>
      </c>
      <c r="G12" s="80">
        <f t="shared" si="2"/>
        <v>5.9843381821438002E-2</v>
      </c>
      <c r="H12" s="81">
        <f t="shared" si="3"/>
        <v>135.37938488740616</v>
      </c>
      <c r="I12" s="80">
        <f t="shared" si="4"/>
        <v>168.43611382151246</v>
      </c>
      <c r="J12" s="2"/>
      <c r="L12" s="2"/>
    </row>
    <row r="13" spans="1:12" s="3" customFormat="1" ht="13" x14ac:dyDescent="0.3">
      <c r="A13" s="140" t="s">
        <v>361</v>
      </c>
      <c r="B13" s="42">
        <v>13084.018780819903</v>
      </c>
      <c r="C13" s="42">
        <v>100</v>
      </c>
      <c r="D13" s="42">
        <v>11106.10618686101</v>
      </c>
      <c r="E13" s="42">
        <v>100</v>
      </c>
      <c r="F13" s="42">
        <v>11244.308151030069</v>
      </c>
      <c r="G13" s="42">
        <v>100</v>
      </c>
      <c r="H13" s="490">
        <f t="shared" si="3"/>
        <v>1.2443781991978264</v>
      </c>
      <c r="I13" s="490">
        <f t="shared" si="4"/>
        <v>-14.060745865686908</v>
      </c>
      <c r="K13" s="1"/>
    </row>
    <row r="14" spans="1:12" x14ac:dyDescent="0.25">
      <c r="J14" s="12"/>
    </row>
    <row r="15" spans="1:12" x14ac:dyDescent="0.25">
      <c r="A15" s="318"/>
      <c r="E15" s="318"/>
      <c r="F15" s="318"/>
      <c r="G15" s="8"/>
      <c r="H15" s="8"/>
      <c r="I15" s="8"/>
    </row>
    <row r="16" spans="1:12" x14ac:dyDescent="0.25">
      <c r="A16" s="318"/>
      <c r="B16" s="318"/>
      <c r="C16" s="318"/>
      <c r="D16" s="318"/>
      <c r="E16" s="318"/>
      <c r="F16" s="318"/>
      <c r="G16" s="318"/>
      <c r="H16" s="318"/>
      <c r="I16" s="318"/>
    </row>
    <row r="18" spans="2:12" x14ac:dyDescent="0.25">
      <c r="B18" s="4"/>
      <c r="D18" s="4"/>
      <c r="F18" s="4"/>
      <c r="H18" s="4"/>
      <c r="I18" s="4"/>
      <c r="J18" s="4"/>
      <c r="K18" s="4"/>
      <c r="L18" s="4"/>
    </row>
    <row r="19" spans="2:12" x14ac:dyDescent="0.25">
      <c r="B19" s="4"/>
      <c r="C19" s="4"/>
      <c r="D19" s="4"/>
      <c r="H19" s="4"/>
      <c r="I19" s="4"/>
      <c r="J19" s="4"/>
      <c r="K19" s="4"/>
      <c r="L19" s="4"/>
    </row>
    <row r="20" spans="2:12" x14ac:dyDescent="0.25">
      <c r="B20" s="4"/>
      <c r="C20" s="4"/>
      <c r="D20" s="4"/>
      <c r="H20" s="4"/>
      <c r="I20" s="4"/>
      <c r="J20" s="4"/>
      <c r="K20" s="4"/>
      <c r="L20" s="4"/>
    </row>
    <row r="21" spans="2:12" x14ac:dyDescent="0.25">
      <c r="B21" s="4"/>
      <c r="C21" s="4"/>
      <c r="D21" s="4"/>
      <c r="H21" s="4"/>
      <c r="I21" s="4"/>
      <c r="J21" s="4"/>
      <c r="K21" s="4"/>
      <c r="L21" s="4"/>
    </row>
    <row r="22" spans="2:12" x14ac:dyDescent="0.25">
      <c r="B22" s="4"/>
      <c r="C22" s="4"/>
      <c r="D22" s="4"/>
      <c r="H22" s="4"/>
      <c r="I22" s="4"/>
      <c r="J22" s="4"/>
      <c r="K22" s="4"/>
      <c r="L22" s="4"/>
    </row>
    <row r="23" spans="2:12" x14ac:dyDescent="0.25">
      <c r="B23" s="4"/>
      <c r="C23" s="4"/>
      <c r="D23" s="4"/>
      <c r="H23" s="4"/>
      <c r="I23" s="4"/>
      <c r="J23" s="4"/>
      <c r="K23" s="4"/>
      <c r="L23" s="4"/>
    </row>
    <row r="24" spans="2:12" x14ac:dyDescent="0.25">
      <c r="B24" s="4"/>
      <c r="C24" s="4"/>
      <c r="D24" s="4"/>
      <c r="H24" s="4"/>
      <c r="I24" s="4"/>
      <c r="J24" s="4"/>
      <c r="K24" s="4"/>
      <c r="L24" s="4"/>
    </row>
    <row r="25" spans="2:12" x14ac:dyDescent="0.25">
      <c r="B25" s="4"/>
      <c r="C25" s="4"/>
      <c r="D25" s="4"/>
      <c r="H25" s="4"/>
      <c r="I25" s="4"/>
      <c r="J25" s="4"/>
      <c r="K25" s="4"/>
      <c r="L25" s="4"/>
    </row>
    <row r="26" spans="2:12" x14ac:dyDescent="0.25">
      <c r="B26" s="4"/>
      <c r="C26" s="4"/>
      <c r="D26" s="4"/>
    </row>
    <row r="27" spans="2:12" x14ac:dyDescent="0.25">
      <c r="B27" s="4"/>
      <c r="C27" s="4"/>
      <c r="D27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AA253"/>
  <sheetViews>
    <sheetView zoomScaleNormal="100" workbookViewId="0">
      <selection activeCell="L1" sqref="L1:M1"/>
    </sheetView>
  </sheetViews>
  <sheetFormatPr defaultColWidth="6.54296875" defaultRowHeight="12.5" x14ac:dyDescent="0.25"/>
  <cols>
    <col min="1" max="1" width="14.81640625" style="20" customWidth="1"/>
    <col min="2" max="2" width="18.7265625" style="31" bestFit="1" customWidth="1"/>
    <col min="3" max="3" width="8.6328125" style="31" bestFit="1" customWidth="1"/>
    <col min="4" max="4" width="11.26953125" style="31" bestFit="1" customWidth="1"/>
    <col min="5" max="5" width="6.6328125" style="31" bestFit="1" customWidth="1"/>
    <col min="6" max="6" width="5.453125" style="31" bestFit="1" customWidth="1"/>
    <col min="7" max="9" width="6.6328125" style="31" bestFit="1" customWidth="1"/>
    <col min="10" max="10" width="16.1796875" style="20" bestFit="1" customWidth="1"/>
    <col min="11" max="11" width="7.81640625" style="20" customWidth="1"/>
    <col min="12" max="15" width="6.54296875" style="20"/>
    <col min="16" max="16" width="6.6328125" style="20" bestFit="1" customWidth="1"/>
    <col min="17" max="18" width="7.7265625" style="20" bestFit="1" customWidth="1"/>
    <col min="19" max="19" width="9.26953125" style="20" bestFit="1" customWidth="1"/>
    <col min="20" max="20" width="7.81640625" style="20" bestFit="1" customWidth="1"/>
    <col min="21" max="21" width="9.26953125" style="20" bestFit="1" customWidth="1"/>
    <col min="22" max="23" width="7.81640625" style="20" bestFit="1" customWidth="1"/>
    <col min="24" max="24" width="7.7265625" style="20" bestFit="1" customWidth="1"/>
    <col min="25" max="27" width="7.6328125" style="20" bestFit="1" customWidth="1"/>
    <col min="28" max="16384" width="6.54296875" style="20"/>
  </cols>
  <sheetData>
    <row r="1" spans="1:27" ht="13" x14ac:dyDescent="0.3">
      <c r="A1" s="317" t="s">
        <v>385</v>
      </c>
      <c r="B1" s="320"/>
      <c r="C1" s="320"/>
      <c r="D1" s="320"/>
      <c r="E1" s="320"/>
      <c r="F1" s="320"/>
      <c r="G1" s="320"/>
      <c r="H1" s="320"/>
      <c r="I1" s="320"/>
      <c r="L1" s="613" t="s">
        <v>239</v>
      </c>
      <c r="M1" s="613"/>
    </row>
    <row r="2" spans="1:27" s="11" customFormat="1" ht="13" x14ac:dyDescent="0.3">
      <c r="A2" s="277" t="s">
        <v>359</v>
      </c>
      <c r="B2" s="277" t="s">
        <v>336</v>
      </c>
      <c r="C2" s="277" t="s">
        <v>340</v>
      </c>
      <c r="D2" s="277" t="s">
        <v>337</v>
      </c>
      <c r="E2" s="277" t="s">
        <v>344</v>
      </c>
      <c r="F2" s="277" t="s">
        <v>338</v>
      </c>
      <c r="G2" s="277" t="s">
        <v>358</v>
      </c>
      <c r="H2" s="277" t="s">
        <v>342</v>
      </c>
      <c r="I2" s="277" t="s">
        <v>343</v>
      </c>
      <c r="J2" s="277" t="s">
        <v>341</v>
      </c>
      <c r="R2" s="20"/>
      <c r="S2" s="18"/>
      <c r="T2" s="18"/>
      <c r="U2" s="18"/>
      <c r="V2" s="18"/>
      <c r="W2" s="18"/>
      <c r="X2" s="18"/>
      <c r="Y2" s="18"/>
      <c r="Z2" s="18"/>
      <c r="AA2" s="18"/>
    </row>
    <row r="3" spans="1:27" x14ac:dyDescent="0.25">
      <c r="A3" s="56" t="s">
        <v>62</v>
      </c>
      <c r="B3" s="45">
        <v>0</v>
      </c>
      <c r="C3" s="45">
        <v>0</v>
      </c>
      <c r="D3" s="45">
        <v>0</v>
      </c>
      <c r="E3" s="45">
        <v>56.536211310000098</v>
      </c>
      <c r="F3" s="45">
        <v>17.734389149999998</v>
      </c>
      <c r="G3" s="45">
        <v>666.58406675000003</v>
      </c>
      <c r="H3" s="45">
        <v>390.07572206999998</v>
      </c>
      <c r="I3" s="45">
        <v>410.26094452999996</v>
      </c>
      <c r="J3" s="45">
        <v>5.2634999999999999E-3</v>
      </c>
      <c r="S3" s="18"/>
      <c r="T3" s="18"/>
      <c r="U3" s="18"/>
      <c r="V3" s="18"/>
      <c r="W3" s="18"/>
      <c r="X3" s="18"/>
      <c r="Y3" s="18"/>
      <c r="Z3" s="18"/>
      <c r="AA3" s="18"/>
    </row>
    <row r="4" spans="1:27" x14ac:dyDescent="0.25">
      <c r="A4" s="21" t="s">
        <v>146</v>
      </c>
      <c r="B4" s="46">
        <v>0</v>
      </c>
      <c r="C4" s="46">
        <v>3.8452042000000004</v>
      </c>
      <c r="D4" s="46">
        <v>0.36102434</v>
      </c>
      <c r="E4" s="46">
        <v>21.897521430000001</v>
      </c>
      <c r="F4" s="46">
        <v>0.44859262999999999</v>
      </c>
      <c r="G4" s="46">
        <v>81.355155530000104</v>
      </c>
      <c r="H4" s="46">
        <v>84.00447840999999</v>
      </c>
      <c r="I4" s="46">
        <v>126.24138403000001</v>
      </c>
      <c r="J4" s="46">
        <v>4.4477042000000004</v>
      </c>
      <c r="S4" s="18"/>
      <c r="T4" s="18"/>
      <c r="U4" s="18"/>
      <c r="V4" s="18"/>
      <c r="W4" s="18"/>
      <c r="X4" s="18"/>
      <c r="Y4" s="18"/>
      <c r="Z4" s="18"/>
      <c r="AA4" s="18"/>
    </row>
    <row r="5" spans="1:27" x14ac:dyDescent="0.25">
      <c r="A5" s="21" t="s">
        <v>158</v>
      </c>
      <c r="B5" s="46">
        <v>6.2092949999999994E-2</v>
      </c>
      <c r="C5" s="46">
        <v>0.14976975000000001</v>
      </c>
      <c r="D5" s="46">
        <v>0.28904629999999998</v>
      </c>
      <c r="E5" s="46">
        <v>18.089601550000001</v>
      </c>
      <c r="F5" s="46">
        <v>1.36773772</v>
      </c>
      <c r="G5" s="46">
        <v>69.814942979999998</v>
      </c>
      <c r="H5" s="46">
        <v>62.692236320000099</v>
      </c>
      <c r="I5" s="46">
        <v>74.792464420000201</v>
      </c>
      <c r="J5" s="46">
        <v>8.7676799999999999E-2</v>
      </c>
      <c r="L5" s="1"/>
      <c r="M5" s="1"/>
      <c r="N5" s="1"/>
      <c r="O5" s="1"/>
      <c r="P5" s="1"/>
      <c r="S5" s="18"/>
      <c r="T5" s="18"/>
      <c r="U5" s="18"/>
      <c r="V5" s="18"/>
      <c r="W5" s="18"/>
      <c r="X5" s="18"/>
      <c r="Y5" s="18"/>
      <c r="Z5" s="18"/>
      <c r="AA5" s="18"/>
    </row>
    <row r="6" spans="1:27" x14ac:dyDescent="0.25">
      <c r="A6" s="21" t="s">
        <v>355</v>
      </c>
      <c r="B6" s="46">
        <v>0</v>
      </c>
      <c r="C6" s="46">
        <v>0</v>
      </c>
      <c r="D6" s="46">
        <v>0</v>
      </c>
      <c r="E6" s="46">
        <v>54.894878299999995</v>
      </c>
      <c r="F6" s="46">
        <v>0</v>
      </c>
      <c r="G6" s="46">
        <v>93.629024629999989</v>
      </c>
      <c r="H6" s="46">
        <v>38.73451867</v>
      </c>
      <c r="I6" s="46">
        <v>156.742149009999</v>
      </c>
      <c r="J6" s="46">
        <v>0</v>
      </c>
      <c r="S6" s="18"/>
      <c r="T6" s="18"/>
      <c r="U6" s="18"/>
      <c r="V6" s="18"/>
      <c r="W6" s="18"/>
      <c r="X6" s="18"/>
      <c r="Y6" s="18"/>
      <c r="Z6" s="18"/>
      <c r="AA6" s="18"/>
    </row>
    <row r="7" spans="1:27" x14ac:dyDescent="0.25">
      <c r="A7" s="21" t="s">
        <v>2</v>
      </c>
      <c r="B7" s="46">
        <v>0</v>
      </c>
      <c r="C7" s="46">
        <v>0.19381200000000001</v>
      </c>
      <c r="D7" s="46">
        <v>43.560835729999994</v>
      </c>
      <c r="E7" s="46">
        <v>2.69033437</v>
      </c>
      <c r="F7" s="46">
        <v>0</v>
      </c>
      <c r="G7" s="46">
        <v>36.245953490000005</v>
      </c>
      <c r="H7" s="46">
        <v>32.311385370000004</v>
      </c>
      <c r="I7" s="46">
        <v>32.311385370000004</v>
      </c>
      <c r="J7" s="46">
        <v>0</v>
      </c>
      <c r="S7" s="18"/>
      <c r="T7" s="18"/>
      <c r="U7" s="18"/>
      <c r="V7" s="18"/>
      <c r="W7" s="18"/>
      <c r="X7" s="18"/>
      <c r="Y7" s="18"/>
      <c r="Z7" s="18"/>
      <c r="AA7" s="18"/>
    </row>
    <row r="8" spans="1:27" x14ac:dyDescent="0.25">
      <c r="A8" s="21" t="s">
        <v>15</v>
      </c>
      <c r="B8" s="46">
        <v>4.6379550000000005E-2</v>
      </c>
      <c r="C8" s="46">
        <v>4.6379550000000005E-2</v>
      </c>
      <c r="D8" s="46">
        <v>2.4288999999999997E-4</v>
      </c>
      <c r="E8" s="46">
        <v>69.147407740000105</v>
      </c>
      <c r="F8" s="46">
        <v>1.362585E-2</v>
      </c>
      <c r="G8" s="46">
        <v>3.09703354</v>
      </c>
      <c r="H8" s="46">
        <v>29.462554430000001</v>
      </c>
      <c r="I8" s="46">
        <v>29.49415174</v>
      </c>
      <c r="J8" s="46">
        <v>0</v>
      </c>
      <c r="S8" s="18"/>
      <c r="T8" s="18"/>
      <c r="U8" s="18"/>
      <c r="V8" s="18"/>
      <c r="W8" s="18"/>
      <c r="X8" s="18"/>
      <c r="Y8" s="18"/>
      <c r="Z8" s="18"/>
      <c r="AA8" s="18"/>
    </row>
    <row r="9" spans="1:27" x14ac:dyDescent="0.25">
      <c r="A9" s="21" t="s">
        <v>83</v>
      </c>
      <c r="B9" s="46">
        <v>2.7544639999999999E-2</v>
      </c>
      <c r="C9" s="46">
        <v>3.442953E-2</v>
      </c>
      <c r="D9" s="46">
        <v>6.3673880000000002E-2</v>
      </c>
      <c r="E9" s="46">
        <v>87.233313529999492</v>
      </c>
      <c r="F9" s="46">
        <v>9.1090409999999997E-2</v>
      </c>
      <c r="G9" s="46">
        <v>5.1532120999999904</v>
      </c>
      <c r="H9" s="46">
        <v>24.621344639999901</v>
      </c>
      <c r="I9" s="46">
        <v>27.633286239999901</v>
      </c>
      <c r="J9" s="46">
        <v>8.0265900000000001E-3</v>
      </c>
      <c r="S9" s="18"/>
      <c r="T9" s="18"/>
      <c r="U9" s="18"/>
      <c r="V9" s="18"/>
      <c r="W9" s="18"/>
      <c r="X9" s="18"/>
      <c r="Y9" s="18"/>
      <c r="Z9" s="18"/>
      <c r="AA9" s="18"/>
    </row>
    <row r="10" spans="1:27" x14ac:dyDescent="0.25">
      <c r="A10" s="21" t="s">
        <v>81</v>
      </c>
      <c r="B10" s="46">
        <v>5.3399300000000005E-3</v>
      </c>
      <c r="C10" s="46">
        <v>9.5409019999999997E-2</v>
      </c>
      <c r="D10" s="46">
        <v>6.5844320000000012E-2</v>
      </c>
      <c r="E10" s="46">
        <v>67.665592149999895</v>
      </c>
      <c r="F10" s="46">
        <v>3.9959926100000001</v>
      </c>
      <c r="G10" s="46">
        <v>80.957639380000103</v>
      </c>
      <c r="H10" s="46">
        <v>22.715471989999998</v>
      </c>
      <c r="I10" s="46">
        <v>30.085667579999999</v>
      </c>
      <c r="J10" s="46">
        <v>9.0069089999999991E-2</v>
      </c>
      <c r="S10" s="18"/>
      <c r="T10" s="18"/>
      <c r="U10" s="18"/>
      <c r="V10" s="18"/>
      <c r="W10" s="18"/>
      <c r="X10" s="18"/>
      <c r="Y10" s="18"/>
      <c r="Z10" s="18"/>
      <c r="AA10" s="18"/>
    </row>
    <row r="11" spans="1:27" x14ac:dyDescent="0.25">
      <c r="A11" s="21" t="s">
        <v>179</v>
      </c>
      <c r="B11" s="46">
        <v>0</v>
      </c>
      <c r="C11" s="46">
        <v>0</v>
      </c>
      <c r="D11" s="46">
        <v>0</v>
      </c>
      <c r="E11" s="46">
        <v>144.35275904</v>
      </c>
      <c r="F11" s="46">
        <v>0</v>
      </c>
      <c r="G11" s="46">
        <v>181.01901003</v>
      </c>
      <c r="H11" s="46">
        <v>20.006217190000001</v>
      </c>
      <c r="I11" s="46">
        <v>42.044602770000004</v>
      </c>
      <c r="J11" s="46">
        <v>0</v>
      </c>
      <c r="S11" s="18"/>
      <c r="T11" s="18"/>
      <c r="U11" s="18"/>
      <c r="V11" s="18"/>
      <c r="W11" s="18"/>
      <c r="X11" s="18"/>
      <c r="Y11" s="18"/>
      <c r="Z11" s="18"/>
      <c r="AA11" s="18"/>
    </row>
    <row r="12" spans="1:27" x14ac:dyDescent="0.25">
      <c r="A12" s="21" t="s">
        <v>160</v>
      </c>
      <c r="B12" s="46">
        <v>0</v>
      </c>
      <c r="C12" s="46">
        <v>5.8703599999999998E-3</v>
      </c>
      <c r="D12" s="46">
        <v>0</v>
      </c>
      <c r="E12" s="46">
        <v>10.98245842</v>
      </c>
      <c r="F12" s="46">
        <v>0.24374729000000001</v>
      </c>
      <c r="G12" s="46">
        <v>8.1297345300000003</v>
      </c>
      <c r="H12" s="46">
        <v>18.350024980000001</v>
      </c>
      <c r="I12" s="46">
        <v>18.967795629999998</v>
      </c>
      <c r="J12" s="46">
        <v>6.1452199999999998E-3</v>
      </c>
      <c r="S12" s="18"/>
      <c r="T12" s="18"/>
      <c r="U12" s="18"/>
      <c r="V12" s="18"/>
      <c r="W12" s="18"/>
      <c r="X12" s="18"/>
      <c r="Y12" s="18"/>
      <c r="Z12" s="18"/>
      <c r="AA12" s="18"/>
    </row>
    <row r="13" spans="1:27" x14ac:dyDescent="0.25">
      <c r="A13" s="21" t="s">
        <v>84</v>
      </c>
      <c r="B13" s="46">
        <v>0.39299678999999998</v>
      </c>
      <c r="C13" s="46">
        <v>0.39641029999999999</v>
      </c>
      <c r="D13" s="46">
        <v>0</v>
      </c>
      <c r="E13" s="46">
        <v>69.030408170000101</v>
      </c>
      <c r="F13" s="46">
        <v>9.1325999999999994E-4</v>
      </c>
      <c r="G13" s="46">
        <v>2.1178042000000001</v>
      </c>
      <c r="H13" s="46">
        <v>18.033566269999998</v>
      </c>
      <c r="I13" s="46">
        <v>22.58483043</v>
      </c>
      <c r="J13" s="46">
        <v>3.84987E-3</v>
      </c>
      <c r="S13" s="18"/>
      <c r="T13" s="18"/>
      <c r="U13" s="18"/>
      <c r="V13" s="18"/>
      <c r="W13" s="18"/>
      <c r="X13" s="18"/>
      <c r="Y13" s="18"/>
      <c r="Z13" s="18"/>
      <c r="AA13" s="18"/>
    </row>
    <row r="14" spans="1:27" x14ac:dyDescent="0.25">
      <c r="A14" s="21" t="s">
        <v>96</v>
      </c>
      <c r="B14" s="46">
        <v>7.0553500000000002E-3</v>
      </c>
      <c r="C14" s="46">
        <v>12.10239385</v>
      </c>
      <c r="D14" s="46">
        <v>0</v>
      </c>
      <c r="E14" s="46">
        <v>63.552918079999898</v>
      </c>
      <c r="F14" s="46">
        <v>0.11718276</v>
      </c>
      <c r="G14" s="46">
        <v>0.87412520999999999</v>
      </c>
      <c r="H14" s="46">
        <v>18.023168120000001</v>
      </c>
      <c r="I14" s="46">
        <v>79.663271319999993</v>
      </c>
      <c r="J14" s="46">
        <v>0</v>
      </c>
      <c r="S14" s="18"/>
      <c r="T14" s="18"/>
      <c r="U14" s="18"/>
      <c r="V14" s="18"/>
      <c r="W14" s="18"/>
      <c r="X14" s="18"/>
      <c r="Y14" s="18"/>
      <c r="Z14" s="18"/>
      <c r="AA14" s="18"/>
    </row>
    <row r="15" spans="1:27" x14ac:dyDescent="0.25">
      <c r="A15" s="21" t="s">
        <v>105</v>
      </c>
      <c r="B15" s="46">
        <v>0.18753649999999999</v>
      </c>
      <c r="C15" s="46">
        <v>0.18753649999999999</v>
      </c>
      <c r="D15" s="46">
        <v>0</v>
      </c>
      <c r="E15" s="46">
        <v>66.139571079999897</v>
      </c>
      <c r="F15" s="46">
        <v>4.9381499999999997E-3</v>
      </c>
      <c r="G15" s="46">
        <v>4.5398663899999905</v>
      </c>
      <c r="H15" s="46">
        <v>16.042146980000002</v>
      </c>
      <c r="I15" s="46">
        <v>17.792667989999998</v>
      </c>
      <c r="J15" s="46">
        <v>0</v>
      </c>
      <c r="S15" s="18"/>
      <c r="T15" s="18"/>
      <c r="U15" s="18"/>
      <c r="V15" s="18"/>
      <c r="W15" s="18"/>
      <c r="X15" s="18"/>
      <c r="Y15" s="18"/>
      <c r="Z15" s="18"/>
      <c r="AA15" s="18"/>
    </row>
    <row r="16" spans="1:27" x14ac:dyDescent="0.25">
      <c r="A16" s="21" t="s">
        <v>30</v>
      </c>
      <c r="B16" s="46">
        <v>0</v>
      </c>
      <c r="C16" s="46">
        <v>3.2356999999999997E-4</v>
      </c>
      <c r="D16" s="46">
        <v>1.0026879999999998E-2</v>
      </c>
      <c r="E16" s="46">
        <v>210.62722647000001</v>
      </c>
      <c r="F16" s="46">
        <v>0</v>
      </c>
      <c r="G16" s="46">
        <v>1.178418E-2</v>
      </c>
      <c r="H16" s="46">
        <v>15.965143789999999</v>
      </c>
      <c r="I16" s="46">
        <v>25.153486440000002</v>
      </c>
      <c r="J16" s="46">
        <v>3.2356999999999997E-4</v>
      </c>
      <c r="S16" s="18"/>
      <c r="T16" s="18"/>
      <c r="U16" s="18"/>
      <c r="V16" s="18"/>
      <c r="W16" s="18"/>
      <c r="X16" s="18"/>
      <c r="Y16" s="18"/>
      <c r="Z16" s="18"/>
      <c r="AA16" s="18"/>
    </row>
    <row r="17" spans="1:27" x14ac:dyDescent="0.25">
      <c r="A17" s="21" t="s">
        <v>202</v>
      </c>
      <c r="B17" s="46">
        <v>0</v>
      </c>
      <c r="C17" s="46">
        <v>3.1142000000000002E-4</v>
      </c>
      <c r="D17" s="46">
        <v>0.26014749999999998</v>
      </c>
      <c r="E17" s="46">
        <v>13.45896072</v>
      </c>
      <c r="F17" s="46">
        <v>0.26391787999999999</v>
      </c>
      <c r="G17" s="46">
        <v>8.2966621200000006</v>
      </c>
      <c r="H17" s="46">
        <v>14.11725903</v>
      </c>
      <c r="I17" s="46">
        <v>36.383453830000001</v>
      </c>
      <c r="J17" s="46">
        <v>3.1142000000000002E-4</v>
      </c>
      <c r="S17" s="18"/>
      <c r="T17" s="18"/>
      <c r="U17" s="18"/>
      <c r="V17" s="18"/>
      <c r="W17" s="18"/>
      <c r="X17" s="18"/>
      <c r="Y17" s="18"/>
      <c r="Z17" s="18"/>
      <c r="AA17" s="18"/>
    </row>
    <row r="18" spans="1:27" x14ac:dyDescent="0.25">
      <c r="A18" s="21" t="s">
        <v>163</v>
      </c>
      <c r="B18" s="46">
        <v>0</v>
      </c>
      <c r="C18" s="46">
        <v>2.8048999999999999E-4</v>
      </c>
      <c r="D18" s="46">
        <v>0.39717873999999997</v>
      </c>
      <c r="E18" s="46">
        <v>6.8949434699999994</v>
      </c>
      <c r="F18" s="46">
        <v>1.1692610000000001E-2</v>
      </c>
      <c r="G18" s="46">
        <v>22.12739912</v>
      </c>
      <c r="H18" s="46">
        <v>12.064662390000001</v>
      </c>
      <c r="I18" s="46">
        <v>17.371333329999999</v>
      </c>
      <c r="J18" s="46">
        <v>2.8048999999999999E-4</v>
      </c>
      <c r="S18" s="18"/>
      <c r="T18" s="18"/>
      <c r="U18" s="18"/>
      <c r="V18" s="18"/>
      <c r="W18" s="18"/>
      <c r="X18" s="18"/>
      <c r="Y18" s="18"/>
      <c r="Z18" s="18"/>
      <c r="AA18" s="18"/>
    </row>
    <row r="19" spans="1:27" x14ac:dyDescent="0.25">
      <c r="A19" s="21" t="s">
        <v>180</v>
      </c>
      <c r="B19" s="46">
        <v>1.0221850000000001E-2</v>
      </c>
      <c r="C19" s="46">
        <v>4.346506E-2</v>
      </c>
      <c r="D19" s="46">
        <v>0.59019284999999999</v>
      </c>
      <c r="E19" s="46">
        <v>39.139925569999903</v>
      </c>
      <c r="F19" s="46">
        <v>0.1479299</v>
      </c>
      <c r="G19" s="46">
        <v>28.395180700000001</v>
      </c>
      <c r="H19" s="46">
        <v>12.02701324</v>
      </c>
      <c r="I19" s="46">
        <v>32.866555810000001</v>
      </c>
      <c r="J19" s="46">
        <v>3.3243210000000002E-2</v>
      </c>
      <c r="S19" s="18"/>
      <c r="T19" s="18"/>
      <c r="U19" s="18"/>
      <c r="V19" s="18"/>
      <c r="W19" s="18"/>
      <c r="X19" s="18"/>
      <c r="Y19" s="18"/>
      <c r="Z19" s="18"/>
      <c r="AA19" s="18"/>
    </row>
    <row r="20" spans="1:27" x14ac:dyDescent="0.25">
      <c r="A20" s="21" t="s">
        <v>178</v>
      </c>
      <c r="B20" s="46">
        <v>6.7100000000000005E-4</v>
      </c>
      <c r="C20" s="46">
        <v>1.32155892</v>
      </c>
      <c r="D20" s="46">
        <v>0.10291377</v>
      </c>
      <c r="E20" s="46">
        <v>37.090863829999904</v>
      </c>
      <c r="F20" s="46">
        <v>6.4615850000000002E-2</v>
      </c>
      <c r="G20" s="46">
        <v>108.37658247</v>
      </c>
      <c r="H20" s="46">
        <v>11.391765400000001</v>
      </c>
      <c r="I20" s="46">
        <v>17.456824140000002</v>
      </c>
      <c r="J20" s="46">
        <v>1.3208879199999999</v>
      </c>
      <c r="S20" s="18"/>
      <c r="T20" s="18"/>
      <c r="U20" s="18"/>
      <c r="V20" s="18"/>
      <c r="W20" s="18"/>
      <c r="X20" s="18"/>
      <c r="Y20" s="18"/>
      <c r="Z20" s="18"/>
      <c r="AA20" s="18"/>
    </row>
    <row r="21" spans="1:27" x14ac:dyDescent="0.25">
      <c r="A21" s="21" t="s">
        <v>162</v>
      </c>
      <c r="B21" s="46">
        <v>6.6675000000000002E-4</v>
      </c>
      <c r="C21" s="46">
        <v>6.6675000000000002E-4</v>
      </c>
      <c r="D21" s="46">
        <v>2.5457599999999997E-2</v>
      </c>
      <c r="E21" s="46">
        <v>17.43381407</v>
      </c>
      <c r="F21" s="46">
        <v>0.19648807000000001</v>
      </c>
      <c r="G21" s="46">
        <v>9.6986247299999899</v>
      </c>
      <c r="H21" s="46">
        <v>11.04880855</v>
      </c>
      <c r="I21" s="46">
        <v>15.43287316</v>
      </c>
      <c r="J21" s="46">
        <v>0</v>
      </c>
      <c r="S21" s="18"/>
      <c r="T21" s="18"/>
      <c r="U21" s="18"/>
      <c r="V21" s="18"/>
      <c r="W21" s="18"/>
      <c r="X21" s="18"/>
      <c r="Y21" s="18"/>
      <c r="Z21" s="18"/>
      <c r="AA21" s="18"/>
    </row>
    <row r="22" spans="1:27" x14ac:dyDescent="0.25">
      <c r="A22" s="21" t="s">
        <v>200</v>
      </c>
      <c r="B22" s="46">
        <v>0.13004109999999999</v>
      </c>
      <c r="C22" s="46">
        <v>0.13004109999999999</v>
      </c>
      <c r="D22" s="46">
        <v>0</v>
      </c>
      <c r="E22" s="46">
        <v>19.707017390000001</v>
      </c>
      <c r="F22" s="46">
        <v>0.85667349999999998</v>
      </c>
      <c r="G22" s="46">
        <v>7.0677727400000006</v>
      </c>
      <c r="H22" s="46">
        <v>10.556469509999999</v>
      </c>
      <c r="I22" s="46">
        <v>21.030951139999999</v>
      </c>
      <c r="J22" s="46">
        <v>0</v>
      </c>
      <c r="S22" s="18"/>
      <c r="T22" s="18"/>
      <c r="U22" s="18"/>
      <c r="V22" s="18"/>
      <c r="W22" s="18"/>
      <c r="X22" s="18"/>
      <c r="Y22" s="18"/>
      <c r="Z22" s="18"/>
      <c r="AA22" s="18"/>
    </row>
    <row r="23" spans="1:27" x14ac:dyDescent="0.25">
      <c r="A23" s="21" t="s">
        <v>29</v>
      </c>
      <c r="B23" s="46">
        <v>0</v>
      </c>
      <c r="C23" s="46">
        <v>0.99352139000000006</v>
      </c>
      <c r="D23" s="46">
        <v>0</v>
      </c>
      <c r="E23" s="46">
        <v>42.697938319999906</v>
      </c>
      <c r="F23" s="46">
        <v>0.96296148000000004</v>
      </c>
      <c r="G23" s="46">
        <v>7.3781999999999997E-3</v>
      </c>
      <c r="H23" s="46">
        <v>10.554680189999999</v>
      </c>
      <c r="I23" s="46">
        <v>11.527498400000001</v>
      </c>
      <c r="J23" s="46">
        <v>1.5748242699999999</v>
      </c>
      <c r="S23" s="18"/>
      <c r="T23" s="18"/>
      <c r="U23" s="18"/>
      <c r="V23" s="18"/>
      <c r="W23" s="18"/>
      <c r="X23" s="18"/>
      <c r="Y23" s="18"/>
      <c r="Z23" s="18"/>
      <c r="AA23" s="18"/>
    </row>
    <row r="24" spans="1:27" x14ac:dyDescent="0.25">
      <c r="A24" s="21" t="s">
        <v>144</v>
      </c>
      <c r="B24" s="46">
        <v>0</v>
      </c>
      <c r="C24" s="46">
        <v>0.36756428999999996</v>
      </c>
      <c r="D24" s="46">
        <v>2.2797000000000001E-2</v>
      </c>
      <c r="E24" s="46">
        <v>11.24890478</v>
      </c>
      <c r="F24" s="46">
        <v>9.6229999999999996E-3</v>
      </c>
      <c r="G24" s="46">
        <v>3.9249140499999999</v>
      </c>
      <c r="H24" s="46">
        <v>10.548828329999999</v>
      </c>
      <c r="I24" s="46">
        <v>11.233943500000001</v>
      </c>
      <c r="J24" s="46">
        <v>0.36756428999999996</v>
      </c>
      <c r="S24" s="18"/>
      <c r="T24" s="18"/>
      <c r="U24" s="18"/>
      <c r="V24" s="18"/>
      <c r="W24" s="18"/>
      <c r="X24" s="18"/>
      <c r="Y24" s="18"/>
      <c r="Z24" s="18"/>
      <c r="AA24" s="18"/>
    </row>
    <row r="25" spans="1:27" x14ac:dyDescent="0.25">
      <c r="A25" s="21" t="s">
        <v>106</v>
      </c>
      <c r="B25" s="46">
        <v>0</v>
      </c>
      <c r="C25" s="46">
        <v>3.1018759999999999E-2</v>
      </c>
      <c r="D25" s="46">
        <v>5.4814000000000002E-4</v>
      </c>
      <c r="E25" s="46">
        <v>72.368356750000103</v>
      </c>
      <c r="F25" s="46">
        <v>2.2733800000000002E-3</v>
      </c>
      <c r="G25" s="46">
        <v>3.4972606399999999</v>
      </c>
      <c r="H25" s="46">
        <v>9.5237888300000009</v>
      </c>
      <c r="I25" s="46">
        <v>9.6026848699999992</v>
      </c>
      <c r="J25" s="46">
        <v>0</v>
      </c>
      <c r="S25" s="18"/>
      <c r="T25" s="18"/>
      <c r="U25" s="18"/>
      <c r="V25" s="18"/>
      <c r="W25" s="18"/>
      <c r="X25" s="18"/>
      <c r="Y25" s="18"/>
      <c r="Z25" s="18"/>
      <c r="AA25" s="18"/>
    </row>
    <row r="26" spans="1:27" x14ac:dyDescent="0.25">
      <c r="A26" s="21" t="s">
        <v>172</v>
      </c>
      <c r="B26" s="46">
        <v>0</v>
      </c>
      <c r="C26" s="46">
        <v>0</v>
      </c>
      <c r="D26" s="46">
        <v>5.5428400000000003E-3</v>
      </c>
      <c r="E26" s="46">
        <v>6.0417161100000003</v>
      </c>
      <c r="F26" s="46">
        <v>5.7861240000000001E-2</v>
      </c>
      <c r="G26" s="46">
        <v>22.42976912</v>
      </c>
      <c r="H26" s="46">
        <v>9.31179047</v>
      </c>
      <c r="I26" s="46">
        <v>10.241102779999999</v>
      </c>
      <c r="J26" s="46">
        <v>2.4920100000000002E-3</v>
      </c>
      <c r="S26" s="18"/>
      <c r="T26" s="18"/>
      <c r="U26" s="18"/>
      <c r="V26" s="18"/>
      <c r="W26" s="18"/>
      <c r="X26" s="18"/>
      <c r="Y26" s="18"/>
      <c r="Z26" s="18"/>
      <c r="AA26" s="18"/>
    </row>
    <row r="27" spans="1:27" x14ac:dyDescent="0.25">
      <c r="A27" s="21" t="s">
        <v>101</v>
      </c>
      <c r="B27" s="46">
        <v>0</v>
      </c>
      <c r="C27" s="46">
        <v>0</v>
      </c>
      <c r="D27" s="46">
        <v>1.8415230200000001</v>
      </c>
      <c r="E27" s="46">
        <v>16.098948960000001</v>
      </c>
      <c r="F27" s="46">
        <v>0</v>
      </c>
      <c r="G27" s="46">
        <v>36.396267209999998</v>
      </c>
      <c r="H27" s="46">
        <v>9.0015307199999999</v>
      </c>
      <c r="I27" s="46">
        <v>75.06385272</v>
      </c>
      <c r="J27" s="46">
        <v>0</v>
      </c>
      <c r="S27" s="18"/>
      <c r="T27" s="18"/>
      <c r="U27" s="18"/>
      <c r="V27" s="18"/>
      <c r="W27" s="18"/>
      <c r="X27" s="18"/>
      <c r="Y27" s="18"/>
      <c r="Z27" s="18"/>
      <c r="AA27" s="18"/>
    </row>
    <row r="28" spans="1:27" x14ac:dyDescent="0.25">
      <c r="A28" s="21" t="s">
        <v>75</v>
      </c>
      <c r="B28" s="46">
        <v>0.35475906000000001</v>
      </c>
      <c r="C28" s="46">
        <v>0.35475906000000001</v>
      </c>
      <c r="D28" s="46">
        <v>0</v>
      </c>
      <c r="E28" s="46">
        <v>6.3575353799999998</v>
      </c>
      <c r="F28" s="46">
        <v>1.209738E-2</v>
      </c>
      <c r="G28" s="46">
        <v>16.558302340000001</v>
      </c>
      <c r="H28" s="46">
        <v>8.3958504299999994</v>
      </c>
      <c r="I28" s="46">
        <v>32.191338420000001</v>
      </c>
      <c r="J28" s="46">
        <v>0</v>
      </c>
      <c r="S28" s="18"/>
      <c r="T28" s="18"/>
      <c r="U28" s="18"/>
      <c r="V28" s="18"/>
      <c r="W28" s="18"/>
      <c r="X28" s="18"/>
      <c r="Y28" s="18"/>
      <c r="Z28" s="18"/>
      <c r="AA28" s="18"/>
    </row>
    <row r="29" spans="1:27" x14ac:dyDescent="0.25">
      <c r="A29" s="21" t="s">
        <v>159</v>
      </c>
      <c r="B29" s="46">
        <v>0</v>
      </c>
      <c r="C29" s="46">
        <v>2.5372399999999996E-3</v>
      </c>
      <c r="D29" s="46">
        <v>0</v>
      </c>
      <c r="E29" s="46">
        <v>5.3320726699999996</v>
      </c>
      <c r="F29" s="46">
        <v>0.34686887</v>
      </c>
      <c r="G29" s="46">
        <v>29.427053409999999</v>
      </c>
      <c r="H29" s="46">
        <v>8.1527939099999998</v>
      </c>
      <c r="I29" s="46">
        <v>22.884904089999999</v>
      </c>
      <c r="J29" s="46">
        <v>2.5372399999999996E-3</v>
      </c>
      <c r="S29" s="18"/>
      <c r="T29" s="18"/>
      <c r="U29" s="18"/>
      <c r="V29" s="18"/>
      <c r="W29" s="18"/>
      <c r="X29" s="18"/>
      <c r="Y29" s="18"/>
      <c r="Z29" s="18"/>
      <c r="AA29" s="18"/>
    </row>
    <row r="30" spans="1:27" x14ac:dyDescent="0.25">
      <c r="A30" s="21" t="s">
        <v>157</v>
      </c>
      <c r="B30" s="46">
        <v>0</v>
      </c>
      <c r="C30" s="46">
        <v>8.8028199999999994E-3</v>
      </c>
      <c r="D30" s="46">
        <v>4.6704019999999999E-2</v>
      </c>
      <c r="E30" s="46">
        <v>22.393096979999999</v>
      </c>
      <c r="F30" s="46">
        <v>7.6398259999999996E-2</v>
      </c>
      <c r="G30" s="46">
        <v>8.2895019300000001</v>
      </c>
      <c r="H30" s="46">
        <v>8.0322099599999994</v>
      </c>
      <c r="I30" s="46">
        <v>17.149438499999999</v>
      </c>
      <c r="J30" s="46">
        <v>8.8028199999999994E-3</v>
      </c>
      <c r="S30" s="18"/>
      <c r="T30" s="18"/>
      <c r="U30" s="18"/>
      <c r="V30" s="18"/>
      <c r="W30" s="18"/>
      <c r="X30" s="18"/>
      <c r="Y30" s="18"/>
      <c r="Z30" s="18"/>
      <c r="AA30" s="18"/>
    </row>
    <row r="31" spans="1:27" x14ac:dyDescent="0.25">
      <c r="A31" s="21" t="s">
        <v>80</v>
      </c>
      <c r="B31" s="46">
        <v>8.5104400000000011E-3</v>
      </c>
      <c r="C31" s="46">
        <v>8.5104400000000011E-3</v>
      </c>
      <c r="D31" s="46">
        <v>2.1964709999999998</v>
      </c>
      <c r="E31" s="46">
        <v>43.19487264</v>
      </c>
      <c r="F31" s="46">
        <v>3.6969589999999997E-2</v>
      </c>
      <c r="G31" s="46">
        <v>57.088358340000006</v>
      </c>
      <c r="H31" s="46">
        <v>7.8761003700000005</v>
      </c>
      <c r="I31" s="46">
        <v>11.67668024</v>
      </c>
      <c r="J31" s="46">
        <v>0</v>
      </c>
      <c r="S31" s="18"/>
      <c r="T31" s="18"/>
      <c r="U31" s="18"/>
      <c r="V31" s="18"/>
      <c r="W31" s="18"/>
      <c r="X31" s="18"/>
      <c r="Y31" s="18"/>
      <c r="Z31" s="18"/>
      <c r="AA31" s="18"/>
    </row>
    <row r="32" spans="1:27" x14ac:dyDescent="0.25">
      <c r="A32" s="21" t="s">
        <v>151</v>
      </c>
      <c r="B32" s="46">
        <v>2.17665E-3</v>
      </c>
      <c r="C32" s="46">
        <v>1.30075E-2</v>
      </c>
      <c r="D32" s="46">
        <v>0.80637612999999997</v>
      </c>
      <c r="E32" s="46">
        <v>30.350393829999998</v>
      </c>
      <c r="F32" s="46">
        <v>6.7638470000000006E-2</v>
      </c>
      <c r="G32" s="46">
        <v>26.79350269</v>
      </c>
      <c r="H32" s="46">
        <v>7.0966629000000001</v>
      </c>
      <c r="I32" s="46">
        <v>33.053940769999997</v>
      </c>
      <c r="J32" s="46">
        <v>1.083085E-2</v>
      </c>
      <c r="S32" s="18"/>
      <c r="T32" s="18"/>
      <c r="U32" s="18"/>
      <c r="V32" s="18"/>
      <c r="W32" s="18"/>
      <c r="X32" s="18"/>
      <c r="Y32" s="18"/>
      <c r="Z32" s="18"/>
      <c r="AA32" s="18"/>
    </row>
    <row r="33" spans="1:27" x14ac:dyDescent="0.25">
      <c r="A33" s="21" t="s">
        <v>173</v>
      </c>
      <c r="B33" s="46">
        <v>1.7470380000000001E-2</v>
      </c>
      <c r="C33" s="46">
        <v>1.7470380000000001E-2</v>
      </c>
      <c r="D33" s="46">
        <v>1.916205E-2</v>
      </c>
      <c r="E33" s="46">
        <v>23.17499952</v>
      </c>
      <c r="F33" s="46">
        <v>0.80397081000000004</v>
      </c>
      <c r="G33" s="46">
        <v>11.37733418</v>
      </c>
      <c r="H33" s="46">
        <v>7.0014740999999994</v>
      </c>
      <c r="I33" s="46">
        <v>14.42620383</v>
      </c>
      <c r="J33" s="46">
        <v>0</v>
      </c>
      <c r="S33" s="18"/>
      <c r="T33" s="18"/>
      <c r="U33" s="18"/>
      <c r="V33" s="18"/>
      <c r="W33" s="18"/>
      <c r="X33" s="18"/>
      <c r="Y33" s="18"/>
      <c r="Z33" s="18"/>
      <c r="AA33" s="18"/>
    </row>
    <row r="34" spans="1:27" x14ac:dyDescent="0.25">
      <c r="A34" s="21" t="s">
        <v>156</v>
      </c>
      <c r="B34" s="46">
        <v>0</v>
      </c>
      <c r="C34" s="46">
        <v>4.0460000000000002E-4</v>
      </c>
      <c r="D34" s="46">
        <v>0</v>
      </c>
      <c r="E34" s="46">
        <v>13.230635919999999</v>
      </c>
      <c r="F34" s="46">
        <v>5.8269519999999998E-2</v>
      </c>
      <c r="G34" s="46">
        <v>8.3930551199999996</v>
      </c>
      <c r="H34" s="46">
        <v>6.7634971999999998</v>
      </c>
      <c r="I34" s="46">
        <v>8.50285972</v>
      </c>
      <c r="J34" s="46">
        <v>4.0460000000000002E-4</v>
      </c>
      <c r="S34" s="18"/>
      <c r="T34" s="18"/>
      <c r="U34" s="18"/>
      <c r="V34" s="18"/>
      <c r="W34" s="18"/>
      <c r="X34" s="18"/>
      <c r="Y34" s="18"/>
      <c r="Z34" s="18"/>
      <c r="AA34" s="18"/>
    </row>
    <row r="35" spans="1:27" x14ac:dyDescent="0.25">
      <c r="A35" s="21" t="s">
        <v>138</v>
      </c>
      <c r="B35" s="46">
        <v>0</v>
      </c>
      <c r="C35" s="46">
        <v>3.07815E-2</v>
      </c>
      <c r="D35" s="46">
        <v>0.12346624</v>
      </c>
      <c r="E35" s="46">
        <v>52.6762057199998</v>
      </c>
      <c r="F35" s="46">
        <v>2.1125770000000002E-2</v>
      </c>
      <c r="G35" s="46">
        <v>28.35879654</v>
      </c>
      <c r="H35" s="46">
        <v>6.5777046500000003</v>
      </c>
      <c r="I35" s="46">
        <v>15.92438997</v>
      </c>
      <c r="J35" s="46">
        <v>3.07815E-2</v>
      </c>
      <c r="S35" s="18"/>
      <c r="T35" s="18"/>
      <c r="U35" s="18"/>
      <c r="V35" s="18"/>
      <c r="W35" s="18"/>
      <c r="X35" s="18"/>
      <c r="Y35" s="18"/>
      <c r="Z35" s="18"/>
      <c r="AA35" s="18"/>
    </row>
    <row r="36" spans="1:27" x14ac:dyDescent="0.25">
      <c r="A36" s="21" t="s">
        <v>135</v>
      </c>
      <c r="B36" s="46">
        <v>0</v>
      </c>
      <c r="C36" s="46">
        <v>1.221528E-2</v>
      </c>
      <c r="D36" s="46">
        <v>5.1491200000000001E-3</v>
      </c>
      <c r="E36" s="46">
        <v>13.695852840000001</v>
      </c>
      <c r="F36" s="46">
        <v>0.23586860000000001</v>
      </c>
      <c r="G36" s="46">
        <v>11.61210664</v>
      </c>
      <c r="H36" s="46">
        <v>6.3953390099999998</v>
      </c>
      <c r="I36" s="46">
        <v>11.17001351</v>
      </c>
      <c r="J36" s="46">
        <v>1.221528E-2</v>
      </c>
      <c r="S36" s="18"/>
      <c r="T36" s="18"/>
      <c r="U36" s="18"/>
      <c r="V36" s="18"/>
      <c r="W36" s="18"/>
      <c r="X36" s="18"/>
      <c r="Y36" s="18"/>
      <c r="Z36" s="18"/>
      <c r="AA36" s="18"/>
    </row>
    <row r="37" spans="1:27" x14ac:dyDescent="0.25">
      <c r="A37" s="21" t="s">
        <v>140</v>
      </c>
      <c r="B37" s="46">
        <v>0</v>
      </c>
      <c r="C37" s="46">
        <v>1.3786055800000001</v>
      </c>
      <c r="D37" s="46">
        <v>0.33395322999999999</v>
      </c>
      <c r="E37" s="46">
        <v>23.977056219999998</v>
      </c>
      <c r="F37" s="46">
        <v>4.0543100000000002E-3</v>
      </c>
      <c r="G37" s="46">
        <v>30.831345370000001</v>
      </c>
      <c r="H37" s="46">
        <v>6.2091317300000002</v>
      </c>
      <c r="I37" s="46">
        <v>18.975000089999998</v>
      </c>
      <c r="J37" s="46">
        <v>1.3786055800000001</v>
      </c>
      <c r="S37" s="18"/>
      <c r="T37" s="18"/>
      <c r="U37" s="18"/>
      <c r="V37" s="18"/>
      <c r="W37" s="18"/>
      <c r="X37" s="18"/>
      <c r="Y37" s="18"/>
      <c r="Z37" s="18"/>
      <c r="AA37" s="18"/>
    </row>
    <row r="38" spans="1:27" x14ac:dyDescent="0.25">
      <c r="A38" s="21" t="s">
        <v>88</v>
      </c>
      <c r="B38" s="46">
        <v>0</v>
      </c>
      <c r="C38" s="46">
        <v>0</v>
      </c>
      <c r="D38" s="46">
        <v>0</v>
      </c>
      <c r="E38" s="46">
        <v>4.9123874499999998</v>
      </c>
      <c r="F38" s="46">
        <v>2.101E-3</v>
      </c>
      <c r="G38" s="46">
        <v>27.08013175</v>
      </c>
      <c r="H38" s="46">
        <v>5.75807146</v>
      </c>
      <c r="I38" s="46">
        <v>34.136913970000002</v>
      </c>
      <c r="J38" s="46">
        <v>0</v>
      </c>
      <c r="S38" s="18"/>
      <c r="T38" s="18"/>
      <c r="U38" s="18"/>
      <c r="V38" s="18"/>
      <c r="W38" s="18"/>
      <c r="X38" s="18"/>
      <c r="Y38" s="18"/>
      <c r="Z38" s="18"/>
      <c r="AA38" s="18"/>
    </row>
    <row r="39" spans="1:27" x14ac:dyDescent="0.25">
      <c r="A39" s="21" t="s">
        <v>28</v>
      </c>
      <c r="B39" s="46">
        <v>1.1320499999999999E-3</v>
      </c>
      <c r="C39" s="46">
        <v>0.57024585999999999</v>
      </c>
      <c r="D39" s="46">
        <v>0</v>
      </c>
      <c r="E39" s="46">
        <v>93.168033719999897</v>
      </c>
      <c r="F39" s="46">
        <v>4.7204899999999999E-3</v>
      </c>
      <c r="G39" s="46">
        <v>4.1523219600000001</v>
      </c>
      <c r="H39" s="46">
        <v>5.7560822500000004</v>
      </c>
      <c r="I39" s="46">
        <v>6.5197684999999996</v>
      </c>
      <c r="J39" s="46">
        <v>1.6762159999999998E-2</v>
      </c>
      <c r="S39" s="18"/>
      <c r="T39" s="18"/>
      <c r="U39" s="18"/>
      <c r="V39" s="18"/>
      <c r="W39" s="18"/>
      <c r="X39" s="18"/>
      <c r="Y39" s="18"/>
      <c r="Z39" s="18"/>
      <c r="AA39" s="18"/>
    </row>
    <row r="40" spans="1:27" x14ac:dyDescent="0.25">
      <c r="A40" s="21" t="s">
        <v>164</v>
      </c>
      <c r="B40" s="46">
        <v>0</v>
      </c>
      <c r="C40" s="46">
        <v>0</v>
      </c>
      <c r="D40" s="46">
        <v>3.5395000000000001E-3</v>
      </c>
      <c r="E40" s="46">
        <v>2.0486389900000002</v>
      </c>
      <c r="F40" s="46">
        <v>4.0046999999999999E-3</v>
      </c>
      <c r="G40" s="46">
        <v>6.0428812900000004</v>
      </c>
      <c r="H40" s="46">
        <v>5.4025925199999998</v>
      </c>
      <c r="I40" s="46">
        <v>10.907012269999999</v>
      </c>
      <c r="J40" s="46">
        <v>0</v>
      </c>
      <c r="S40" s="18"/>
      <c r="T40" s="18"/>
      <c r="U40" s="18"/>
      <c r="V40" s="18"/>
      <c r="W40" s="18"/>
      <c r="X40" s="18"/>
      <c r="Y40" s="18"/>
      <c r="Z40" s="18"/>
      <c r="AA40" s="18"/>
    </row>
    <row r="41" spans="1:27" x14ac:dyDescent="0.25">
      <c r="A41" s="21" t="s">
        <v>102</v>
      </c>
      <c r="B41" s="46">
        <v>0</v>
      </c>
      <c r="C41" s="46">
        <v>6.1361899999999997E-3</v>
      </c>
      <c r="D41" s="46">
        <v>0.15852827</v>
      </c>
      <c r="E41" s="46">
        <v>6.2377045599999992</v>
      </c>
      <c r="F41" s="46">
        <v>5.641235E-2</v>
      </c>
      <c r="G41" s="46">
        <v>11.043089109999999</v>
      </c>
      <c r="H41" s="46">
        <v>4.9002999199999895</v>
      </c>
      <c r="I41" s="46">
        <v>17.469687530000002</v>
      </c>
      <c r="J41" s="46">
        <v>6.1361899999999997E-3</v>
      </c>
      <c r="S41" s="18"/>
      <c r="T41" s="18"/>
      <c r="U41" s="18"/>
      <c r="V41" s="18"/>
      <c r="W41" s="18"/>
      <c r="X41" s="18"/>
      <c r="Y41" s="18"/>
      <c r="Z41" s="18"/>
      <c r="AA41" s="18"/>
    </row>
    <row r="42" spans="1:27" x14ac:dyDescent="0.25">
      <c r="A42" s="21" t="s">
        <v>175</v>
      </c>
      <c r="B42" s="46">
        <v>0</v>
      </c>
      <c r="C42" s="46">
        <v>0.51073440000000003</v>
      </c>
      <c r="D42" s="46">
        <v>0</v>
      </c>
      <c r="E42" s="46">
        <v>6.7212986799999994</v>
      </c>
      <c r="F42" s="46">
        <v>8.0472149999999992E-2</v>
      </c>
      <c r="G42" s="46">
        <v>2.4179056299999999</v>
      </c>
      <c r="H42" s="46">
        <v>4.8667425999999994</v>
      </c>
      <c r="I42" s="46">
        <v>6.1584095799999998</v>
      </c>
      <c r="J42" s="46">
        <v>0.51073440000000003</v>
      </c>
      <c r="S42" s="18"/>
      <c r="T42" s="18"/>
      <c r="U42" s="18"/>
      <c r="V42" s="18"/>
      <c r="W42" s="18"/>
      <c r="X42" s="18"/>
      <c r="Y42" s="18"/>
      <c r="Z42" s="18"/>
      <c r="AA42" s="18"/>
    </row>
    <row r="43" spans="1:27" x14ac:dyDescent="0.25">
      <c r="A43" s="21" t="s">
        <v>208</v>
      </c>
      <c r="B43" s="46">
        <v>4.2886999999999995E-3</v>
      </c>
      <c r="C43" s="46">
        <v>8.6865689999999995E-2</v>
      </c>
      <c r="D43" s="46">
        <v>0.39640340999999996</v>
      </c>
      <c r="E43" s="46">
        <v>75.448694220000107</v>
      </c>
      <c r="F43" s="46">
        <v>6.2146099999999996E-2</v>
      </c>
      <c r="G43" s="46">
        <v>11.27258256</v>
      </c>
      <c r="H43" s="46">
        <v>4.82543671</v>
      </c>
      <c r="I43" s="46">
        <v>7.1474581400000101</v>
      </c>
      <c r="J43" s="46">
        <v>8.3921499999999996E-2</v>
      </c>
      <c r="S43" s="18"/>
      <c r="T43" s="18"/>
      <c r="U43" s="18"/>
      <c r="V43" s="18"/>
      <c r="W43" s="18"/>
      <c r="X43" s="18"/>
      <c r="Y43" s="18"/>
      <c r="Z43" s="18"/>
      <c r="AA43" s="18"/>
    </row>
    <row r="44" spans="1:27" x14ac:dyDescent="0.25">
      <c r="A44" s="21" t="s">
        <v>166</v>
      </c>
      <c r="B44" s="46">
        <v>0</v>
      </c>
      <c r="C44" s="46">
        <v>0</v>
      </c>
      <c r="D44" s="46">
        <v>0</v>
      </c>
      <c r="E44" s="46">
        <v>8.75287507</v>
      </c>
      <c r="F44" s="46">
        <v>0.16267642999999998</v>
      </c>
      <c r="G44" s="46">
        <v>43.372045569999997</v>
      </c>
      <c r="H44" s="46">
        <v>4.6717555900000001</v>
      </c>
      <c r="I44" s="46">
        <v>28.802451100000003</v>
      </c>
      <c r="J44" s="46">
        <v>2.1960899999999999E-3</v>
      </c>
      <c r="S44" s="18"/>
      <c r="T44" s="18"/>
      <c r="U44" s="18"/>
      <c r="V44" s="18"/>
      <c r="W44" s="18"/>
      <c r="X44" s="18"/>
      <c r="Y44" s="18"/>
      <c r="Z44" s="18"/>
      <c r="AA44" s="18"/>
    </row>
    <row r="45" spans="1:27" x14ac:dyDescent="0.25">
      <c r="A45" s="21" t="s">
        <v>131</v>
      </c>
      <c r="B45" s="46">
        <v>0</v>
      </c>
      <c r="C45" s="46">
        <v>0</v>
      </c>
      <c r="D45" s="46">
        <v>0</v>
      </c>
      <c r="E45" s="46">
        <v>32.806989989999998</v>
      </c>
      <c r="F45" s="46">
        <v>8.3742499999999997E-3</v>
      </c>
      <c r="G45" s="46">
        <v>4.6566591700000002</v>
      </c>
      <c r="H45" s="46">
        <v>4.17958037</v>
      </c>
      <c r="I45" s="46">
        <v>7.8973147199999998</v>
      </c>
      <c r="J45" s="46">
        <v>0</v>
      </c>
      <c r="S45" s="18"/>
      <c r="T45" s="18"/>
      <c r="U45" s="18"/>
      <c r="V45" s="18"/>
      <c r="W45" s="18"/>
      <c r="X45" s="18"/>
      <c r="Y45" s="18"/>
      <c r="Z45" s="18"/>
      <c r="AA45" s="18"/>
    </row>
    <row r="46" spans="1:27" x14ac:dyDescent="0.25">
      <c r="A46" s="21" t="s">
        <v>171</v>
      </c>
      <c r="B46" s="46">
        <v>3.9345100000000004E-3</v>
      </c>
      <c r="C46" s="46">
        <v>1.3589520000000001E-2</v>
      </c>
      <c r="D46" s="46">
        <v>0</v>
      </c>
      <c r="E46" s="46">
        <v>33.359851880000001</v>
      </c>
      <c r="F46" s="46">
        <v>0.78665116000000002</v>
      </c>
      <c r="G46" s="46">
        <v>65.566698500000001</v>
      </c>
      <c r="H46" s="46">
        <v>3.9885328100000002</v>
      </c>
      <c r="I46" s="46">
        <v>14.69880641</v>
      </c>
      <c r="J46" s="46">
        <v>9.6550100000000003E-3</v>
      </c>
      <c r="S46" s="18"/>
      <c r="T46" s="18"/>
      <c r="U46" s="18"/>
      <c r="V46" s="18"/>
      <c r="W46" s="18"/>
      <c r="X46" s="18"/>
      <c r="Y46" s="18"/>
      <c r="Z46" s="18"/>
      <c r="AA46" s="18"/>
    </row>
    <row r="47" spans="1:27" x14ac:dyDescent="0.25">
      <c r="A47" s="21" t="s">
        <v>58</v>
      </c>
      <c r="B47" s="46">
        <v>4.8017360000000002E-2</v>
      </c>
      <c r="C47" s="46">
        <v>4.8017360000000002E-2</v>
      </c>
      <c r="D47" s="46">
        <v>0.43952390000000002</v>
      </c>
      <c r="E47" s="46">
        <v>26.219006510000003</v>
      </c>
      <c r="F47" s="46">
        <v>2.277527E-2</v>
      </c>
      <c r="G47" s="46">
        <v>3.1305689999999997E-2</v>
      </c>
      <c r="H47" s="46">
        <v>3.6536538300000001</v>
      </c>
      <c r="I47" s="46">
        <v>3.7111752400000002</v>
      </c>
      <c r="J47" s="46">
        <v>2.0353549999999998E-2</v>
      </c>
      <c r="S47" s="18"/>
      <c r="T47" s="18"/>
      <c r="U47" s="18"/>
      <c r="V47" s="18"/>
      <c r="W47" s="18"/>
      <c r="X47" s="18"/>
      <c r="Y47" s="18"/>
      <c r="Z47" s="18"/>
      <c r="AA47" s="18"/>
    </row>
    <row r="48" spans="1:27" x14ac:dyDescent="0.25">
      <c r="A48" s="21" t="s">
        <v>79</v>
      </c>
      <c r="B48" s="46">
        <v>0</v>
      </c>
      <c r="C48" s="46">
        <v>0</v>
      </c>
      <c r="D48" s="46">
        <v>5.8787500000000003E-3</v>
      </c>
      <c r="E48" s="46">
        <v>18.944164539999999</v>
      </c>
      <c r="F48" s="46">
        <v>5.04895E-3</v>
      </c>
      <c r="G48" s="46">
        <v>0.48462878999999998</v>
      </c>
      <c r="H48" s="46">
        <v>3.62955542</v>
      </c>
      <c r="I48" s="46">
        <v>4.8872419499999999</v>
      </c>
      <c r="J48" s="46">
        <v>4.0614999999999998E-4</v>
      </c>
      <c r="S48" s="18"/>
      <c r="T48" s="18"/>
      <c r="U48" s="18"/>
      <c r="V48" s="18"/>
      <c r="W48" s="18"/>
      <c r="X48" s="18"/>
      <c r="Y48" s="18"/>
      <c r="Z48" s="18"/>
      <c r="AA48" s="18"/>
    </row>
    <row r="49" spans="1:27" x14ac:dyDescent="0.25">
      <c r="A49" s="21" t="s">
        <v>10</v>
      </c>
      <c r="B49" s="46">
        <v>0</v>
      </c>
      <c r="C49" s="46">
        <v>0</v>
      </c>
      <c r="D49" s="46">
        <v>0</v>
      </c>
      <c r="E49" s="46">
        <v>1.4692470399999999</v>
      </c>
      <c r="F49" s="46">
        <v>0</v>
      </c>
      <c r="G49" s="46">
        <v>0</v>
      </c>
      <c r="H49" s="46">
        <v>3.5650109199999998</v>
      </c>
      <c r="I49" s="46">
        <v>3.5650109199999998</v>
      </c>
      <c r="J49" s="46">
        <v>0</v>
      </c>
      <c r="S49" s="18"/>
      <c r="T49" s="18"/>
      <c r="U49" s="18"/>
      <c r="V49" s="18"/>
      <c r="W49" s="18"/>
      <c r="X49" s="18"/>
      <c r="Y49" s="18"/>
      <c r="Z49" s="18"/>
      <c r="AA49" s="18"/>
    </row>
    <row r="50" spans="1:27" x14ac:dyDescent="0.25">
      <c r="A50" s="21" t="s">
        <v>161</v>
      </c>
      <c r="B50" s="46">
        <v>0</v>
      </c>
      <c r="C50" s="46">
        <v>0</v>
      </c>
      <c r="D50" s="46">
        <v>3.0687529999999998E-2</v>
      </c>
      <c r="E50" s="46">
        <v>2.0651842500000002</v>
      </c>
      <c r="F50" s="46">
        <v>3.35324E-3</v>
      </c>
      <c r="G50" s="46">
        <v>2.8638970600000002</v>
      </c>
      <c r="H50" s="46">
        <v>3.5140376</v>
      </c>
      <c r="I50" s="46">
        <v>5.8618403700000004</v>
      </c>
      <c r="J50" s="46">
        <v>0</v>
      </c>
      <c r="S50" s="18"/>
      <c r="T50" s="18"/>
      <c r="U50" s="18"/>
      <c r="V50" s="18"/>
      <c r="W50" s="18"/>
      <c r="X50" s="18"/>
      <c r="Y50" s="18"/>
      <c r="Z50" s="18"/>
      <c r="AA50" s="18"/>
    </row>
    <row r="51" spans="1:27" x14ac:dyDescent="0.25">
      <c r="A51" s="21" t="s">
        <v>16</v>
      </c>
      <c r="B51" s="46">
        <v>0</v>
      </c>
      <c r="C51" s="46">
        <v>4.0000000000000001E-3</v>
      </c>
      <c r="D51" s="46">
        <v>0</v>
      </c>
      <c r="E51" s="46">
        <v>33.2638824100001</v>
      </c>
      <c r="F51" s="46">
        <v>0</v>
      </c>
      <c r="G51" s="46">
        <v>9.5691500000000002E-3</v>
      </c>
      <c r="H51" s="46">
        <v>3.3670356400000001</v>
      </c>
      <c r="I51" s="46">
        <v>3.2743032999999997</v>
      </c>
      <c r="J51" s="46">
        <v>1.0834120000000001E-2</v>
      </c>
      <c r="S51" s="18"/>
      <c r="T51" s="18"/>
      <c r="U51" s="18"/>
      <c r="V51" s="18"/>
      <c r="W51" s="18"/>
      <c r="X51" s="18"/>
      <c r="Y51" s="18"/>
      <c r="Z51" s="18"/>
      <c r="AA51" s="18"/>
    </row>
    <row r="52" spans="1:27" x14ac:dyDescent="0.25">
      <c r="A52" s="21" t="s">
        <v>71</v>
      </c>
      <c r="B52" s="46">
        <v>0</v>
      </c>
      <c r="C52" s="46">
        <v>1.5580950000000001E-2</v>
      </c>
      <c r="D52" s="46">
        <v>3.1375060000000003E-2</v>
      </c>
      <c r="E52" s="46">
        <v>0.95587543999999991</v>
      </c>
      <c r="F52" s="46">
        <v>2.3314281100000001</v>
      </c>
      <c r="G52" s="46">
        <v>6.93739668</v>
      </c>
      <c r="H52" s="46">
        <v>3.1819172599999996</v>
      </c>
      <c r="I52" s="46">
        <v>6.8111007300000006</v>
      </c>
      <c r="J52" s="46">
        <v>0</v>
      </c>
      <c r="S52" s="18"/>
      <c r="T52" s="18"/>
      <c r="U52" s="18"/>
      <c r="V52" s="18"/>
      <c r="W52" s="18"/>
      <c r="X52" s="18"/>
      <c r="Y52" s="18"/>
      <c r="Z52" s="18"/>
      <c r="AA52" s="18"/>
    </row>
    <row r="53" spans="1:27" x14ac:dyDescent="0.25">
      <c r="A53" s="21" t="s">
        <v>181</v>
      </c>
      <c r="B53" s="46">
        <v>0</v>
      </c>
      <c r="C53" s="46">
        <v>0</v>
      </c>
      <c r="D53" s="46">
        <v>0</v>
      </c>
      <c r="E53" s="46">
        <v>1.4841441599999998</v>
      </c>
      <c r="F53" s="46">
        <v>4.0897169999999997E-2</v>
      </c>
      <c r="G53" s="46">
        <v>2.9768785000000002</v>
      </c>
      <c r="H53" s="46">
        <v>3.1324973100000002</v>
      </c>
      <c r="I53" s="46">
        <v>3.8967649900000003</v>
      </c>
      <c r="J53" s="46">
        <v>0</v>
      </c>
      <c r="S53" s="18"/>
      <c r="T53" s="18"/>
      <c r="U53" s="18"/>
      <c r="V53" s="18"/>
      <c r="W53" s="18"/>
      <c r="X53" s="18"/>
      <c r="Y53" s="18"/>
      <c r="Z53" s="18"/>
      <c r="AA53" s="18"/>
    </row>
    <row r="54" spans="1:27" x14ac:dyDescent="0.25">
      <c r="A54" s="21" t="s">
        <v>214</v>
      </c>
      <c r="B54" s="46">
        <v>0</v>
      </c>
      <c r="C54" s="46">
        <v>0.16362650000000001</v>
      </c>
      <c r="D54" s="46">
        <v>0</v>
      </c>
      <c r="E54" s="46">
        <v>25.281901010000002</v>
      </c>
      <c r="F54" s="46">
        <v>1.01385393</v>
      </c>
      <c r="G54" s="46">
        <v>6.9804626500000007</v>
      </c>
      <c r="H54" s="46">
        <v>2.9666001200000003</v>
      </c>
      <c r="I54" s="46">
        <v>8.2958490299999994</v>
      </c>
      <c r="J54" s="46">
        <v>0.14381311999999999</v>
      </c>
      <c r="S54" s="18"/>
      <c r="T54" s="18"/>
      <c r="U54" s="18"/>
      <c r="V54" s="18"/>
      <c r="W54" s="18"/>
      <c r="X54" s="18"/>
      <c r="Y54" s="18"/>
      <c r="Z54" s="18"/>
      <c r="AA54" s="18"/>
    </row>
    <row r="55" spans="1:27" x14ac:dyDescent="0.25">
      <c r="A55" s="21" t="s">
        <v>134</v>
      </c>
      <c r="B55" s="46">
        <v>0</v>
      </c>
      <c r="C55" s="46">
        <v>9.7600210000000007E-2</v>
      </c>
      <c r="D55" s="46">
        <v>3.1828780000000001E-2</v>
      </c>
      <c r="E55" s="46">
        <v>12.97744159</v>
      </c>
      <c r="F55" s="46">
        <v>3.6931779999999997E-2</v>
      </c>
      <c r="G55" s="46">
        <v>6.39546569</v>
      </c>
      <c r="H55" s="46">
        <v>2.64531984</v>
      </c>
      <c r="I55" s="46">
        <v>13.171638960000001</v>
      </c>
      <c r="J55" s="46">
        <v>9.7600210000000007E-2</v>
      </c>
      <c r="S55" s="18"/>
      <c r="T55" s="18"/>
      <c r="U55" s="18"/>
      <c r="V55" s="18"/>
      <c r="W55" s="18"/>
      <c r="X55" s="18"/>
      <c r="Y55" s="18"/>
      <c r="Z55" s="18"/>
      <c r="AA55" s="18"/>
    </row>
    <row r="56" spans="1:27" x14ac:dyDescent="0.25">
      <c r="A56" s="21" t="s">
        <v>184</v>
      </c>
      <c r="B56" s="46">
        <v>0</v>
      </c>
      <c r="C56" s="46">
        <v>0</v>
      </c>
      <c r="D56" s="46">
        <v>1.065401E-2</v>
      </c>
      <c r="E56" s="46">
        <v>0.46392791999999999</v>
      </c>
      <c r="F56" s="46">
        <v>0</v>
      </c>
      <c r="G56" s="46">
        <v>0.75612237999999998</v>
      </c>
      <c r="H56" s="46">
        <v>2.5868022000000002</v>
      </c>
      <c r="I56" s="46">
        <v>5.0269014400000005</v>
      </c>
      <c r="J56" s="46">
        <v>0</v>
      </c>
      <c r="S56" s="18"/>
      <c r="T56" s="18"/>
      <c r="U56" s="18"/>
      <c r="V56" s="18"/>
      <c r="W56" s="18"/>
      <c r="X56" s="18"/>
      <c r="Y56" s="18"/>
      <c r="Z56" s="18"/>
      <c r="AA56" s="18"/>
    </row>
    <row r="57" spans="1:27" x14ac:dyDescent="0.25">
      <c r="A57" s="21" t="s">
        <v>116</v>
      </c>
      <c r="B57" s="46">
        <v>0</v>
      </c>
      <c r="C57" s="46">
        <v>2.8445291500000001</v>
      </c>
      <c r="D57" s="46">
        <v>3.3084E-4</v>
      </c>
      <c r="E57" s="46">
        <v>13.521148349999999</v>
      </c>
      <c r="F57" s="46">
        <v>0</v>
      </c>
      <c r="G57" s="46">
        <v>2.2839522699999999</v>
      </c>
      <c r="H57" s="46">
        <v>2.4277384999999998</v>
      </c>
      <c r="I57" s="46">
        <v>2.4906077099999999</v>
      </c>
      <c r="J57" s="46">
        <v>2.9456429500000003</v>
      </c>
      <c r="S57" s="18"/>
      <c r="T57" s="18"/>
      <c r="U57" s="18"/>
      <c r="V57" s="18"/>
      <c r="W57" s="18"/>
      <c r="X57" s="18"/>
      <c r="Y57" s="18"/>
      <c r="Z57" s="18"/>
      <c r="AA57" s="18"/>
    </row>
    <row r="58" spans="1:27" x14ac:dyDescent="0.25">
      <c r="A58" s="21" t="s">
        <v>39</v>
      </c>
      <c r="B58" s="46">
        <v>0</v>
      </c>
      <c r="C58" s="46">
        <v>4.8872299999999997</v>
      </c>
      <c r="D58" s="46">
        <v>0</v>
      </c>
      <c r="E58" s="46">
        <v>15.763654220000001</v>
      </c>
      <c r="F58" s="46">
        <v>0</v>
      </c>
      <c r="G58" s="46">
        <v>0.13169292000000002</v>
      </c>
      <c r="H58" s="46">
        <v>2.42382863</v>
      </c>
      <c r="I58" s="46">
        <v>2.46141663</v>
      </c>
      <c r="J58" s="46">
        <v>0.69732284</v>
      </c>
      <c r="S58" s="18"/>
      <c r="T58" s="18"/>
      <c r="U58" s="18"/>
      <c r="V58" s="18"/>
      <c r="W58" s="18"/>
      <c r="X58" s="18"/>
      <c r="Y58" s="18"/>
      <c r="Z58" s="18"/>
      <c r="AA58" s="18"/>
    </row>
    <row r="59" spans="1:27" x14ac:dyDescent="0.25">
      <c r="A59" s="21" t="s">
        <v>24</v>
      </c>
      <c r="B59" s="46">
        <v>0.12282086</v>
      </c>
      <c r="C59" s="46">
        <v>0.12853706000000001</v>
      </c>
      <c r="D59" s="46">
        <v>0</v>
      </c>
      <c r="E59" s="46">
        <v>21.325022660000002</v>
      </c>
      <c r="F59" s="46">
        <v>1.945612E-2</v>
      </c>
      <c r="G59" s="46">
        <v>0.23403614</v>
      </c>
      <c r="H59" s="46">
        <v>2.3709314300000002</v>
      </c>
      <c r="I59" s="46">
        <v>2.6062908</v>
      </c>
      <c r="J59" s="46">
        <v>5.7161999999999994E-3</v>
      </c>
      <c r="S59" s="18"/>
      <c r="T59" s="18"/>
      <c r="U59" s="18"/>
      <c r="V59" s="18"/>
      <c r="W59" s="18"/>
      <c r="X59" s="18"/>
      <c r="Y59" s="18"/>
      <c r="Z59" s="18"/>
      <c r="AA59" s="18"/>
    </row>
    <row r="60" spans="1:27" x14ac:dyDescent="0.25">
      <c r="A60" s="21" t="s">
        <v>142</v>
      </c>
      <c r="B60" s="46">
        <v>0</v>
      </c>
      <c r="C60" s="46">
        <v>0</v>
      </c>
      <c r="D60" s="46">
        <v>0.22954385999999999</v>
      </c>
      <c r="E60" s="46">
        <v>10.36599685</v>
      </c>
      <c r="F60" s="46">
        <v>1.4662680000000001E-2</v>
      </c>
      <c r="G60" s="46">
        <v>16.20047744</v>
      </c>
      <c r="H60" s="46">
        <v>2.3677956099999999</v>
      </c>
      <c r="I60" s="46">
        <v>5.0351012000000006</v>
      </c>
      <c r="J60" s="46">
        <v>0</v>
      </c>
      <c r="S60" s="18"/>
      <c r="T60" s="18"/>
      <c r="U60" s="18"/>
      <c r="V60" s="18"/>
      <c r="W60" s="18"/>
      <c r="X60" s="18"/>
      <c r="Y60" s="18"/>
      <c r="Z60" s="18"/>
      <c r="AA60" s="18"/>
    </row>
    <row r="61" spans="1:27" x14ac:dyDescent="0.25">
      <c r="A61" s="21" t="s">
        <v>215</v>
      </c>
      <c r="B61" s="46">
        <v>2.4695979999999999E-2</v>
      </c>
      <c r="C61" s="46">
        <v>0.31598196000000001</v>
      </c>
      <c r="D61" s="46">
        <v>0</v>
      </c>
      <c r="E61" s="46">
        <v>3.1680652</v>
      </c>
      <c r="F61" s="46">
        <v>0.36800583000000003</v>
      </c>
      <c r="G61" s="46">
        <v>1.4535188300000002</v>
      </c>
      <c r="H61" s="46">
        <v>2.3565972000000004</v>
      </c>
      <c r="I61" s="46">
        <v>5.1614429599999996</v>
      </c>
      <c r="J61" s="46">
        <v>0.29128598</v>
      </c>
      <c r="S61" s="18"/>
      <c r="T61" s="18"/>
      <c r="U61" s="18"/>
      <c r="V61" s="18"/>
      <c r="W61" s="18"/>
      <c r="X61" s="18"/>
      <c r="Y61" s="18"/>
      <c r="Z61" s="18"/>
      <c r="AA61" s="18"/>
    </row>
    <row r="62" spans="1:27" x14ac:dyDescent="0.25">
      <c r="A62" s="21" t="s">
        <v>8</v>
      </c>
      <c r="B62" s="46">
        <v>0</v>
      </c>
      <c r="C62" s="46">
        <v>0</v>
      </c>
      <c r="D62" s="46">
        <v>0</v>
      </c>
      <c r="E62" s="46">
        <v>11.97673473</v>
      </c>
      <c r="F62" s="46">
        <v>0.17705623000000001</v>
      </c>
      <c r="G62" s="46">
        <v>4.3718838099999999</v>
      </c>
      <c r="H62" s="46">
        <v>2.28975456</v>
      </c>
      <c r="I62" s="46">
        <v>8.4476128199999998</v>
      </c>
      <c r="J62" s="46">
        <v>0</v>
      </c>
      <c r="S62" s="18"/>
      <c r="T62" s="18"/>
      <c r="U62" s="18"/>
      <c r="V62" s="18"/>
      <c r="W62" s="18"/>
      <c r="X62" s="18"/>
      <c r="Y62" s="18"/>
      <c r="Z62" s="18"/>
      <c r="AA62" s="18"/>
    </row>
    <row r="63" spans="1:27" x14ac:dyDescent="0.25">
      <c r="A63" s="21" t="s">
        <v>22</v>
      </c>
      <c r="B63" s="46">
        <v>1.08821E-3</v>
      </c>
      <c r="C63" s="46">
        <v>1.08821E-3</v>
      </c>
      <c r="D63" s="46">
        <v>1.04174342</v>
      </c>
      <c r="E63" s="46">
        <v>34.458481540000001</v>
      </c>
      <c r="F63" s="46">
        <v>0</v>
      </c>
      <c r="G63" s="46">
        <v>2.70653166</v>
      </c>
      <c r="H63" s="46">
        <v>2.2798796499999998</v>
      </c>
      <c r="I63" s="46">
        <v>2.5459608</v>
      </c>
      <c r="J63" s="46">
        <v>0</v>
      </c>
      <c r="S63" s="18"/>
      <c r="T63" s="18"/>
      <c r="U63" s="18"/>
      <c r="V63" s="18"/>
      <c r="W63" s="18"/>
      <c r="X63" s="18"/>
      <c r="Y63" s="18"/>
      <c r="Z63" s="18"/>
      <c r="AA63" s="18"/>
    </row>
    <row r="64" spans="1:27" x14ac:dyDescent="0.25">
      <c r="A64" s="21" t="s">
        <v>133</v>
      </c>
      <c r="B64" s="46">
        <v>0</v>
      </c>
      <c r="C64" s="46">
        <v>1.07560418</v>
      </c>
      <c r="D64" s="46">
        <v>0</v>
      </c>
      <c r="E64" s="46">
        <v>14.19390802</v>
      </c>
      <c r="F64" s="46">
        <v>0</v>
      </c>
      <c r="G64" s="46">
        <v>2.0281269900000001</v>
      </c>
      <c r="H64" s="46">
        <v>2.26271282</v>
      </c>
      <c r="I64" s="46">
        <v>3.2026525099999996</v>
      </c>
      <c r="J64" s="46">
        <v>1.08865418</v>
      </c>
      <c r="S64" s="18"/>
      <c r="T64" s="18"/>
      <c r="U64" s="18"/>
      <c r="V64" s="18"/>
      <c r="W64" s="18"/>
      <c r="X64" s="18"/>
      <c r="Y64" s="18"/>
      <c r="Z64" s="18"/>
      <c r="AA64" s="18"/>
    </row>
    <row r="65" spans="1:27" x14ac:dyDescent="0.25">
      <c r="A65" s="21" t="s">
        <v>209</v>
      </c>
      <c r="B65" s="46">
        <v>6.1216000000000005E-3</v>
      </c>
      <c r="C65" s="46">
        <v>6.1216000000000005E-3</v>
      </c>
      <c r="D65" s="46">
        <v>0</v>
      </c>
      <c r="E65" s="46">
        <v>5.8270184400000096</v>
      </c>
      <c r="F65" s="46">
        <v>0</v>
      </c>
      <c r="G65" s="46">
        <v>11.55564916</v>
      </c>
      <c r="H65" s="46">
        <v>2.2392552999999999</v>
      </c>
      <c r="I65" s="46">
        <v>2.9559421499999998</v>
      </c>
      <c r="J65" s="46">
        <v>0</v>
      </c>
      <c r="S65" s="18"/>
      <c r="T65" s="18"/>
      <c r="U65" s="18"/>
      <c r="V65" s="18"/>
      <c r="W65" s="18"/>
      <c r="X65" s="18"/>
      <c r="Y65" s="18"/>
      <c r="Z65" s="18"/>
      <c r="AA65" s="18"/>
    </row>
    <row r="66" spans="1:27" x14ac:dyDescent="0.25">
      <c r="A66" s="21" t="s">
        <v>150</v>
      </c>
      <c r="B66" s="46">
        <v>0</v>
      </c>
      <c r="C66" s="46">
        <v>0</v>
      </c>
      <c r="D66" s="46">
        <v>0</v>
      </c>
      <c r="E66" s="46">
        <v>3.9623877999999997</v>
      </c>
      <c r="F66" s="46">
        <v>0</v>
      </c>
      <c r="G66" s="46">
        <v>0.33279429999999999</v>
      </c>
      <c r="H66" s="46">
        <v>2.0630721000000003</v>
      </c>
      <c r="I66" s="46">
        <v>2.1039064600000001</v>
      </c>
      <c r="J66" s="46">
        <v>0</v>
      </c>
      <c r="S66" s="18"/>
      <c r="T66" s="18"/>
      <c r="U66" s="18"/>
      <c r="V66" s="18"/>
      <c r="W66" s="18"/>
      <c r="X66" s="18"/>
      <c r="Y66" s="18"/>
      <c r="Z66" s="18"/>
      <c r="AA66" s="18"/>
    </row>
    <row r="67" spans="1:27" x14ac:dyDescent="0.25">
      <c r="A67" s="21" t="s">
        <v>115</v>
      </c>
      <c r="B67" s="46">
        <v>0</v>
      </c>
      <c r="C67" s="46">
        <v>0</v>
      </c>
      <c r="D67" s="46">
        <v>0.29668546000000001</v>
      </c>
      <c r="E67" s="46">
        <v>4.6347539600000003</v>
      </c>
      <c r="F67" s="46">
        <v>0</v>
      </c>
      <c r="G67" s="46">
        <v>0.8005554399999999</v>
      </c>
      <c r="H67" s="46">
        <v>1.9601378300000001</v>
      </c>
      <c r="I67" s="46">
        <v>1.9604464799999999</v>
      </c>
      <c r="J67" s="46">
        <v>3.3379099999999999E-3</v>
      </c>
      <c r="S67" s="18"/>
      <c r="T67" s="18"/>
      <c r="U67" s="18"/>
      <c r="V67" s="18"/>
      <c r="W67" s="18"/>
      <c r="X67" s="18"/>
      <c r="Y67" s="18"/>
      <c r="Z67" s="18"/>
      <c r="AA67" s="18"/>
    </row>
    <row r="68" spans="1:27" x14ac:dyDescent="0.25">
      <c r="A68" s="21" t="s">
        <v>5</v>
      </c>
      <c r="B68" s="46">
        <v>0</v>
      </c>
      <c r="C68" s="46">
        <v>0</v>
      </c>
      <c r="D68" s="46">
        <v>0</v>
      </c>
      <c r="E68" s="46">
        <v>42.261631380000004</v>
      </c>
      <c r="F68" s="46">
        <v>0</v>
      </c>
      <c r="G68" s="46">
        <v>3.1471399999999997E-3</v>
      </c>
      <c r="H68" s="46">
        <v>1.8387790500000001</v>
      </c>
      <c r="I68" s="46">
        <v>1.8387790500000001</v>
      </c>
      <c r="J68" s="46">
        <v>0</v>
      </c>
      <c r="S68" s="18"/>
      <c r="T68" s="18"/>
      <c r="U68" s="18"/>
      <c r="V68" s="18"/>
      <c r="W68" s="18"/>
      <c r="X68" s="18"/>
      <c r="Y68" s="18"/>
      <c r="Z68" s="18"/>
      <c r="AA68" s="18"/>
    </row>
    <row r="69" spans="1:27" x14ac:dyDescent="0.25">
      <c r="A69" s="21" t="s">
        <v>112</v>
      </c>
      <c r="B69" s="46">
        <v>8.2320000000000006E-4</v>
      </c>
      <c r="C69" s="46">
        <v>7.8907500000000002E-3</v>
      </c>
      <c r="D69" s="46">
        <v>9.2328210000000008E-2</v>
      </c>
      <c r="E69" s="46">
        <v>14.29773084</v>
      </c>
      <c r="F69" s="46">
        <v>5.4900000000000001E-3</v>
      </c>
      <c r="G69" s="46">
        <v>3.1357608300000002</v>
      </c>
      <c r="H69" s="46">
        <v>1.7749483400000001</v>
      </c>
      <c r="I69" s="46">
        <v>4.02797611</v>
      </c>
      <c r="J69" s="46">
        <v>7.0675500000000006E-3</v>
      </c>
      <c r="S69" s="18"/>
      <c r="T69" s="18"/>
      <c r="U69" s="18"/>
      <c r="V69" s="18"/>
      <c r="W69" s="18"/>
      <c r="X69" s="18"/>
      <c r="Y69" s="18"/>
      <c r="Z69" s="18"/>
      <c r="AA69" s="18"/>
    </row>
    <row r="70" spans="1:27" x14ac:dyDescent="0.25">
      <c r="A70" s="21" t="s">
        <v>127</v>
      </c>
      <c r="B70" s="46">
        <v>0</v>
      </c>
      <c r="C70" s="46">
        <v>2.35068E-3</v>
      </c>
      <c r="D70" s="46">
        <v>1.1312899999999999E-3</v>
      </c>
      <c r="E70" s="46">
        <v>29.116948710000003</v>
      </c>
      <c r="F70" s="46">
        <v>0</v>
      </c>
      <c r="G70" s="46">
        <v>7.2330131799999906</v>
      </c>
      <c r="H70" s="46">
        <v>1.7706673100000001</v>
      </c>
      <c r="I70" s="46">
        <v>5.5631608799999999</v>
      </c>
      <c r="J70" s="46">
        <v>4.45788E-3</v>
      </c>
      <c r="S70" s="18"/>
      <c r="T70" s="18"/>
      <c r="U70" s="18"/>
      <c r="V70" s="18"/>
      <c r="W70" s="18"/>
      <c r="X70" s="18"/>
      <c r="Y70" s="18"/>
      <c r="Z70" s="18"/>
      <c r="AA70" s="18"/>
    </row>
    <row r="71" spans="1:27" x14ac:dyDescent="0.25">
      <c r="A71" s="21" t="s">
        <v>174</v>
      </c>
      <c r="B71" s="46">
        <v>0</v>
      </c>
      <c r="C71" s="46">
        <v>18.224016079999998</v>
      </c>
      <c r="D71" s="46">
        <v>4.1718299999999996E-3</v>
      </c>
      <c r="E71" s="46">
        <v>30.005352420000001</v>
      </c>
      <c r="F71" s="46">
        <v>2.6087259999999998E-2</v>
      </c>
      <c r="G71" s="46">
        <v>18.786496460000002</v>
      </c>
      <c r="H71" s="46">
        <v>1.7542930700000001</v>
      </c>
      <c r="I71" s="46">
        <v>3.8302172099999998</v>
      </c>
      <c r="J71" s="46">
        <v>18.224144339999999</v>
      </c>
      <c r="S71" s="18"/>
      <c r="T71" s="18"/>
      <c r="U71" s="18"/>
      <c r="V71" s="18"/>
      <c r="W71" s="18"/>
      <c r="X71" s="18"/>
      <c r="Y71" s="18"/>
      <c r="Z71" s="18"/>
      <c r="AA71" s="18"/>
    </row>
    <row r="72" spans="1:27" x14ac:dyDescent="0.25">
      <c r="A72" s="21" t="s">
        <v>89</v>
      </c>
      <c r="B72" s="46">
        <v>0</v>
      </c>
      <c r="C72" s="46">
        <v>0</v>
      </c>
      <c r="D72" s="46">
        <v>2.5538100000000001E-3</v>
      </c>
      <c r="E72" s="46">
        <v>18.282106350000003</v>
      </c>
      <c r="F72" s="46">
        <v>4.5171999999999999E-3</v>
      </c>
      <c r="G72" s="46">
        <v>8.4043480199999987</v>
      </c>
      <c r="H72" s="46">
        <v>1.6764895900000001</v>
      </c>
      <c r="I72" s="46">
        <v>3.0335946200000001</v>
      </c>
      <c r="J72" s="46">
        <v>0</v>
      </c>
      <c r="S72" s="18"/>
      <c r="T72" s="18"/>
      <c r="U72" s="18"/>
      <c r="V72" s="18"/>
      <c r="W72" s="18"/>
      <c r="X72" s="18"/>
      <c r="Y72" s="18"/>
      <c r="Z72" s="18"/>
      <c r="AA72" s="18"/>
    </row>
    <row r="73" spans="1:27" x14ac:dyDescent="0.25">
      <c r="A73" s="21" t="s">
        <v>100</v>
      </c>
      <c r="B73" s="46">
        <v>8.2548000000000007E-4</v>
      </c>
      <c r="C73" s="46">
        <v>8.2548000000000007E-4</v>
      </c>
      <c r="D73" s="46">
        <v>2.8672600000000004E-3</v>
      </c>
      <c r="E73" s="46">
        <v>8.9180968099999998</v>
      </c>
      <c r="F73" s="46">
        <v>8.0136029999999997E-2</v>
      </c>
      <c r="G73" s="46">
        <v>0.77901244999999997</v>
      </c>
      <c r="H73" s="46">
        <v>1.66966708</v>
      </c>
      <c r="I73" s="46">
        <v>2.4873123100000001</v>
      </c>
      <c r="J73" s="46">
        <v>4.9474000000000002E-4</v>
      </c>
      <c r="S73" s="18"/>
      <c r="T73" s="18"/>
      <c r="U73" s="18"/>
      <c r="V73" s="18"/>
      <c r="W73" s="18"/>
      <c r="X73" s="18"/>
      <c r="Y73" s="18"/>
      <c r="Z73" s="18"/>
      <c r="AA73" s="18"/>
    </row>
    <row r="74" spans="1:27" x14ac:dyDescent="0.25">
      <c r="A74" s="21" t="s">
        <v>176</v>
      </c>
      <c r="B74" s="46">
        <v>0</v>
      </c>
      <c r="C74" s="46">
        <v>0.22488729000000002</v>
      </c>
      <c r="D74" s="46">
        <v>0</v>
      </c>
      <c r="E74" s="46">
        <v>46.879482150000001</v>
      </c>
      <c r="F74" s="46">
        <v>0</v>
      </c>
      <c r="G74" s="46">
        <v>18.592521059999999</v>
      </c>
      <c r="H74" s="46">
        <v>1.60298158</v>
      </c>
      <c r="I74" s="46">
        <v>2.2976742300000002</v>
      </c>
      <c r="J74" s="46">
        <v>3.07019E-3</v>
      </c>
      <c r="S74" s="18"/>
      <c r="T74" s="18"/>
      <c r="U74" s="18"/>
      <c r="V74" s="18"/>
      <c r="W74" s="18"/>
      <c r="X74" s="18"/>
      <c r="Y74" s="18"/>
      <c r="Z74" s="18"/>
      <c r="AA74" s="18"/>
    </row>
    <row r="75" spans="1:27" x14ac:dyDescent="0.25">
      <c r="A75" s="21" t="s">
        <v>17</v>
      </c>
      <c r="B75" s="46">
        <v>0</v>
      </c>
      <c r="C75" s="46">
        <v>0</v>
      </c>
      <c r="D75" s="46">
        <v>0</v>
      </c>
      <c r="E75" s="46">
        <v>37.626903720000101</v>
      </c>
      <c r="F75" s="46">
        <v>0</v>
      </c>
      <c r="G75" s="46">
        <v>0.12220677000000001</v>
      </c>
      <c r="H75" s="46">
        <v>1.4486303</v>
      </c>
      <c r="I75" s="46">
        <v>1.4303013500000001</v>
      </c>
      <c r="J75" s="46">
        <v>0</v>
      </c>
      <c r="S75" s="18"/>
      <c r="T75" s="18"/>
      <c r="U75" s="18"/>
      <c r="V75" s="18"/>
      <c r="W75" s="18"/>
      <c r="X75" s="18"/>
      <c r="Y75" s="18"/>
      <c r="Z75" s="18"/>
      <c r="AA75" s="18"/>
    </row>
    <row r="76" spans="1:27" x14ac:dyDescent="0.25">
      <c r="A76" s="21" t="s">
        <v>119</v>
      </c>
      <c r="B76" s="46">
        <v>3.0453400000000001E-3</v>
      </c>
      <c r="C76" s="46">
        <v>3.0453400000000001E-3</v>
      </c>
      <c r="D76" s="46">
        <v>7.83119E-3</v>
      </c>
      <c r="E76" s="46">
        <v>14.18084518</v>
      </c>
      <c r="F76" s="46">
        <v>0</v>
      </c>
      <c r="G76" s="46">
        <v>2.4783331</v>
      </c>
      <c r="H76" s="46">
        <v>1.4260101999999999</v>
      </c>
      <c r="I76" s="46">
        <v>1.5919591100000001</v>
      </c>
      <c r="J76" s="46">
        <v>9.8344560699999999</v>
      </c>
      <c r="S76" s="18"/>
      <c r="T76" s="18"/>
      <c r="U76" s="18"/>
      <c r="V76" s="18"/>
      <c r="W76" s="18"/>
      <c r="X76" s="18"/>
      <c r="Y76" s="18"/>
      <c r="Z76" s="18"/>
      <c r="AA76" s="18"/>
    </row>
    <row r="77" spans="1:27" x14ac:dyDescent="0.25">
      <c r="A77" s="21" t="s">
        <v>206</v>
      </c>
      <c r="B77" s="46">
        <v>0</v>
      </c>
      <c r="C77" s="46">
        <v>0</v>
      </c>
      <c r="D77" s="46">
        <v>0</v>
      </c>
      <c r="E77" s="46">
        <v>0.28488563</v>
      </c>
      <c r="F77" s="46">
        <v>0</v>
      </c>
      <c r="G77" s="46">
        <v>0.16146907999999999</v>
      </c>
      <c r="H77" s="46">
        <v>1.3901349599999999</v>
      </c>
      <c r="I77" s="46">
        <v>7.4996637800000006</v>
      </c>
      <c r="J77" s="46">
        <v>0</v>
      </c>
      <c r="S77" s="18"/>
      <c r="T77" s="18"/>
      <c r="U77" s="18"/>
      <c r="V77" s="18"/>
      <c r="W77" s="18"/>
      <c r="X77" s="18"/>
      <c r="Y77" s="18"/>
      <c r="Z77" s="18"/>
      <c r="AA77" s="18"/>
    </row>
    <row r="78" spans="1:27" x14ac:dyDescent="0.25">
      <c r="A78" s="21" t="s">
        <v>95</v>
      </c>
      <c r="B78" s="46">
        <v>0</v>
      </c>
      <c r="C78" s="46">
        <v>0</v>
      </c>
      <c r="D78" s="46">
        <v>1.0943399999999999E-3</v>
      </c>
      <c r="E78" s="46">
        <v>6.7500488600000006</v>
      </c>
      <c r="F78" s="46">
        <v>1.9682249999999998E-2</v>
      </c>
      <c r="G78" s="46">
        <v>0.23808713000000001</v>
      </c>
      <c r="H78" s="46">
        <v>1.3699480100000001</v>
      </c>
      <c r="I78" s="46">
        <v>1.793946</v>
      </c>
      <c r="J78" s="46">
        <v>0</v>
      </c>
      <c r="S78" s="18"/>
      <c r="T78" s="18"/>
      <c r="U78" s="18"/>
      <c r="V78" s="18"/>
      <c r="W78" s="18"/>
      <c r="X78" s="18"/>
      <c r="Y78" s="18"/>
      <c r="Z78" s="18"/>
      <c r="AA78" s="18"/>
    </row>
    <row r="79" spans="1:27" x14ac:dyDescent="0.25">
      <c r="A79" s="21" t="s">
        <v>182</v>
      </c>
      <c r="B79" s="46">
        <v>0</v>
      </c>
      <c r="C79" s="46">
        <v>0.25131032999999997</v>
      </c>
      <c r="D79" s="46">
        <v>0</v>
      </c>
      <c r="E79" s="46">
        <v>24.075179120000001</v>
      </c>
      <c r="F79" s="46">
        <v>0</v>
      </c>
      <c r="G79" s="46">
        <v>10.66756683</v>
      </c>
      <c r="H79" s="46">
        <v>1.3688961000000002</v>
      </c>
      <c r="I79" s="46">
        <v>2.6645432400000004</v>
      </c>
      <c r="J79" s="46">
        <v>0.25131032999999997</v>
      </c>
      <c r="S79" s="18"/>
      <c r="T79" s="18"/>
      <c r="U79" s="18"/>
      <c r="V79" s="18"/>
      <c r="W79" s="18"/>
      <c r="X79" s="18"/>
      <c r="Y79" s="18"/>
      <c r="Z79" s="18"/>
      <c r="AA79" s="18"/>
    </row>
    <row r="80" spans="1:27" x14ac:dyDescent="0.25">
      <c r="A80" s="21" t="s">
        <v>66</v>
      </c>
      <c r="B80" s="46">
        <v>0</v>
      </c>
      <c r="C80" s="46">
        <v>0</v>
      </c>
      <c r="D80" s="46">
        <v>0</v>
      </c>
      <c r="E80" s="46">
        <v>68.728430419999896</v>
      </c>
      <c r="F80" s="46">
        <v>0</v>
      </c>
      <c r="G80" s="46">
        <v>1.75202E-3</v>
      </c>
      <c r="H80" s="46">
        <v>1.3587241000000001</v>
      </c>
      <c r="I80" s="46">
        <v>1.3587241000000001</v>
      </c>
      <c r="J80" s="46">
        <v>0</v>
      </c>
      <c r="S80" s="18"/>
      <c r="T80" s="18"/>
      <c r="U80" s="18"/>
      <c r="V80" s="18"/>
      <c r="W80" s="18"/>
      <c r="X80" s="18"/>
      <c r="Y80" s="18"/>
      <c r="Z80" s="18"/>
      <c r="AA80" s="18"/>
    </row>
    <row r="81" spans="1:27" x14ac:dyDescent="0.25">
      <c r="A81" s="21" t="s">
        <v>76</v>
      </c>
      <c r="B81" s="46">
        <v>0</v>
      </c>
      <c r="C81" s="46">
        <v>3.40954E-3</v>
      </c>
      <c r="D81" s="46">
        <v>0</v>
      </c>
      <c r="E81" s="46">
        <v>25.706956530000003</v>
      </c>
      <c r="F81" s="46">
        <v>0</v>
      </c>
      <c r="G81" s="46">
        <v>1.9044953100000002</v>
      </c>
      <c r="H81" s="46">
        <v>1.3318796399999999</v>
      </c>
      <c r="I81" s="46">
        <v>2.63997707</v>
      </c>
      <c r="J81" s="46">
        <v>3.40954E-3</v>
      </c>
      <c r="S81" s="18"/>
      <c r="T81" s="18"/>
      <c r="U81" s="18"/>
      <c r="V81" s="18"/>
      <c r="W81" s="18"/>
      <c r="X81" s="18"/>
      <c r="Y81" s="18"/>
      <c r="Z81" s="18"/>
      <c r="AA81" s="18"/>
    </row>
    <row r="82" spans="1:27" x14ac:dyDescent="0.25">
      <c r="A82" s="21" t="s">
        <v>165</v>
      </c>
      <c r="B82" s="46">
        <v>0</v>
      </c>
      <c r="C82" s="46">
        <v>0</v>
      </c>
      <c r="D82" s="46">
        <v>0</v>
      </c>
      <c r="E82" s="46">
        <v>11.808381929999999</v>
      </c>
      <c r="F82" s="46">
        <v>8.672458999999999E-2</v>
      </c>
      <c r="G82" s="46">
        <v>9.299416479999989</v>
      </c>
      <c r="H82" s="46">
        <v>1.33017232</v>
      </c>
      <c r="I82" s="46">
        <v>4.9877476999999999</v>
      </c>
      <c r="J82" s="46">
        <v>6.29226E-3</v>
      </c>
      <c r="S82" s="18"/>
      <c r="T82" s="18"/>
      <c r="U82" s="18"/>
      <c r="V82" s="18"/>
      <c r="W82" s="18"/>
      <c r="X82" s="18"/>
      <c r="Y82" s="18"/>
      <c r="Z82" s="18"/>
      <c r="AA82" s="18"/>
    </row>
    <row r="83" spans="1:27" x14ac:dyDescent="0.25">
      <c r="A83" s="21" t="s">
        <v>143</v>
      </c>
      <c r="B83" s="46">
        <v>0</v>
      </c>
      <c r="C83" s="46">
        <v>8.7143100000000001E-2</v>
      </c>
      <c r="D83" s="46">
        <v>3.1481999999999999E-3</v>
      </c>
      <c r="E83" s="46">
        <v>0.70892535000000001</v>
      </c>
      <c r="F83" s="46">
        <v>1.970454E-2</v>
      </c>
      <c r="G83" s="46">
        <v>0.45734958000000003</v>
      </c>
      <c r="H83" s="46">
        <v>1.3157932999999999</v>
      </c>
      <c r="I83" s="46">
        <v>3.7038574500000001</v>
      </c>
      <c r="J83" s="46">
        <v>8.7143100000000001E-2</v>
      </c>
      <c r="S83" s="18"/>
      <c r="T83" s="18"/>
      <c r="U83" s="18"/>
      <c r="V83" s="18"/>
      <c r="W83" s="18"/>
      <c r="X83" s="18"/>
      <c r="Y83" s="18"/>
      <c r="Z83" s="18"/>
      <c r="AA83" s="18"/>
    </row>
    <row r="84" spans="1:27" x14ac:dyDescent="0.25">
      <c r="A84" s="21" t="s">
        <v>147</v>
      </c>
      <c r="B84" s="46">
        <v>0</v>
      </c>
      <c r="C84" s="46">
        <v>0</v>
      </c>
      <c r="D84" s="46">
        <v>0</v>
      </c>
      <c r="E84" s="46">
        <v>4.2383039599999996</v>
      </c>
      <c r="F84" s="46">
        <v>0</v>
      </c>
      <c r="G84" s="46">
        <v>1.7227612999999999</v>
      </c>
      <c r="H84" s="46">
        <v>1.2465982499999999</v>
      </c>
      <c r="I84" s="46">
        <v>1.4968047799999999</v>
      </c>
      <c r="J84" s="46">
        <v>0</v>
      </c>
      <c r="S84" s="18"/>
      <c r="T84" s="18"/>
      <c r="U84" s="18"/>
      <c r="V84" s="18"/>
      <c r="W84" s="18"/>
      <c r="X84" s="18"/>
      <c r="Y84" s="18"/>
      <c r="Z84" s="18"/>
      <c r="AA84" s="18"/>
    </row>
    <row r="85" spans="1:27" x14ac:dyDescent="0.25">
      <c r="A85" s="21" t="s">
        <v>380</v>
      </c>
      <c r="B85" s="46">
        <v>0</v>
      </c>
      <c r="C85" s="46">
        <v>0</v>
      </c>
      <c r="D85" s="46">
        <v>0</v>
      </c>
      <c r="E85" s="46">
        <v>1.9412051100000001</v>
      </c>
      <c r="F85" s="46">
        <v>0</v>
      </c>
      <c r="G85" s="46">
        <v>0.90924730000000009</v>
      </c>
      <c r="H85" s="46">
        <v>1.1721381000000002</v>
      </c>
      <c r="I85" s="46">
        <v>1.1721381000000002</v>
      </c>
      <c r="J85" s="46">
        <v>0</v>
      </c>
      <c r="S85" s="18"/>
      <c r="T85" s="18"/>
      <c r="U85" s="18"/>
      <c r="V85" s="18"/>
      <c r="W85" s="18"/>
      <c r="X85" s="18"/>
      <c r="Y85" s="18"/>
      <c r="Z85" s="18"/>
      <c r="AA85" s="18"/>
    </row>
    <row r="86" spans="1:27" x14ac:dyDescent="0.25">
      <c r="A86" s="21" t="s">
        <v>57</v>
      </c>
      <c r="B86" s="46">
        <v>0</v>
      </c>
      <c r="C86" s="46">
        <v>0</v>
      </c>
      <c r="D86" s="46">
        <v>0</v>
      </c>
      <c r="E86" s="46">
        <v>2.110213E-2</v>
      </c>
      <c r="F86" s="46">
        <v>0</v>
      </c>
      <c r="G86" s="46">
        <v>5.1043820599999998</v>
      </c>
      <c r="H86" s="46">
        <v>0.92406055000000009</v>
      </c>
      <c r="I86" s="46">
        <v>0.92406055000000009</v>
      </c>
      <c r="J86" s="46">
        <v>0</v>
      </c>
      <c r="S86" s="18"/>
      <c r="T86" s="18"/>
      <c r="U86" s="18"/>
      <c r="V86" s="18"/>
      <c r="W86" s="18"/>
      <c r="X86" s="18"/>
      <c r="Y86" s="18"/>
      <c r="Z86" s="18"/>
      <c r="AA86" s="18"/>
    </row>
    <row r="87" spans="1:27" x14ac:dyDescent="0.25">
      <c r="A87" s="21" t="s">
        <v>136</v>
      </c>
      <c r="B87" s="46">
        <v>2.5300800000000001E-3</v>
      </c>
      <c r="C87" s="46">
        <v>2.71325E-3</v>
      </c>
      <c r="D87" s="46">
        <v>8.9113500000000002E-3</v>
      </c>
      <c r="E87" s="46">
        <v>2.7179187400000004</v>
      </c>
      <c r="F87" s="46">
        <v>8.2847039999999997E-2</v>
      </c>
      <c r="G87" s="46">
        <v>1.9984234699999999</v>
      </c>
      <c r="H87" s="46">
        <v>0.9059124300000001</v>
      </c>
      <c r="I87" s="46">
        <v>1.14417313</v>
      </c>
      <c r="J87" s="46">
        <v>1.8317E-4</v>
      </c>
      <c r="S87" s="18"/>
      <c r="T87" s="18"/>
      <c r="U87" s="18"/>
      <c r="V87" s="18"/>
      <c r="W87" s="18"/>
      <c r="X87" s="18"/>
      <c r="Y87" s="18"/>
      <c r="Z87" s="18"/>
      <c r="AA87" s="18"/>
    </row>
    <row r="88" spans="1:27" x14ac:dyDescent="0.25">
      <c r="A88" s="21" t="s">
        <v>90</v>
      </c>
      <c r="B88" s="46">
        <v>0</v>
      </c>
      <c r="C88" s="46">
        <v>0</v>
      </c>
      <c r="D88" s="46">
        <v>9.789E-4</v>
      </c>
      <c r="E88" s="46">
        <v>11.47165951</v>
      </c>
      <c r="F88" s="46">
        <v>0</v>
      </c>
      <c r="G88" s="46">
        <v>5.6665301699999997</v>
      </c>
      <c r="H88" s="46">
        <v>0.86398173</v>
      </c>
      <c r="I88" s="46">
        <v>3.0968902900000002</v>
      </c>
      <c r="J88" s="46">
        <v>0</v>
      </c>
      <c r="S88" s="18"/>
      <c r="T88" s="18"/>
      <c r="U88" s="18"/>
      <c r="V88" s="18"/>
      <c r="W88" s="18"/>
      <c r="X88" s="18"/>
      <c r="Y88" s="18"/>
      <c r="Z88" s="18"/>
      <c r="AA88" s="18"/>
    </row>
    <row r="89" spans="1:27" x14ac:dyDescent="0.25">
      <c r="A89" s="21" t="s">
        <v>145</v>
      </c>
      <c r="B89" s="46">
        <v>0</v>
      </c>
      <c r="C89" s="46">
        <v>0</v>
      </c>
      <c r="D89" s="46">
        <v>0</v>
      </c>
      <c r="E89" s="46">
        <v>29.257613280000001</v>
      </c>
      <c r="F89" s="46">
        <v>0</v>
      </c>
      <c r="G89" s="46">
        <v>12.02780469</v>
      </c>
      <c r="H89" s="46">
        <v>0.84048482999999996</v>
      </c>
      <c r="I89" s="46">
        <v>1.8344028000000001</v>
      </c>
      <c r="J89" s="46">
        <v>0</v>
      </c>
      <c r="S89" s="18"/>
      <c r="T89" s="18"/>
      <c r="U89" s="18"/>
      <c r="V89" s="18"/>
      <c r="W89" s="18"/>
      <c r="X89" s="18"/>
      <c r="Y89" s="18"/>
      <c r="Z89" s="18"/>
      <c r="AA89" s="18"/>
    </row>
    <row r="90" spans="1:27" x14ac:dyDescent="0.25">
      <c r="A90" s="21" t="s">
        <v>195</v>
      </c>
      <c r="B90" s="46">
        <v>5.4522099999999999E-3</v>
      </c>
      <c r="C90" s="46">
        <v>1.98200902</v>
      </c>
      <c r="D90" s="46">
        <v>0</v>
      </c>
      <c r="E90" s="46">
        <v>33.923730720000002</v>
      </c>
      <c r="F90" s="46">
        <v>9.4499999999999998E-4</v>
      </c>
      <c r="G90" s="46">
        <v>26.80891622</v>
      </c>
      <c r="H90" s="46">
        <v>0.83330503</v>
      </c>
      <c r="I90" s="46">
        <v>4.1275834199999997</v>
      </c>
      <c r="J90" s="46">
        <v>1.7145802299999999</v>
      </c>
      <c r="S90" s="18"/>
      <c r="T90" s="18"/>
      <c r="U90" s="18"/>
      <c r="V90" s="18"/>
      <c r="W90" s="18"/>
      <c r="X90" s="18"/>
      <c r="Y90" s="18"/>
      <c r="Z90" s="18"/>
      <c r="AA90" s="18"/>
    </row>
    <row r="91" spans="1:27" x14ac:dyDescent="0.25">
      <c r="A91" s="21" t="s">
        <v>93</v>
      </c>
      <c r="B91" s="46">
        <v>0.74195138999999999</v>
      </c>
      <c r="C91" s="46">
        <v>0.74204588999999999</v>
      </c>
      <c r="D91" s="46">
        <v>2.608506E-2</v>
      </c>
      <c r="E91" s="46">
        <v>9.8336642699999999</v>
      </c>
      <c r="F91" s="46">
        <v>9.9658400000000001E-3</v>
      </c>
      <c r="G91" s="46">
        <v>1.38234883</v>
      </c>
      <c r="H91" s="46">
        <v>0.82595603000000006</v>
      </c>
      <c r="I91" s="46">
        <v>1.37185494</v>
      </c>
      <c r="J91" s="46">
        <v>9.4500000000000007E-5</v>
      </c>
      <c r="S91" s="18"/>
      <c r="T91" s="18"/>
      <c r="U91" s="18"/>
      <c r="V91" s="18"/>
      <c r="W91" s="18"/>
      <c r="X91" s="18"/>
      <c r="Y91" s="18"/>
      <c r="Z91" s="18"/>
      <c r="AA91" s="18"/>
    </row>
    <row r="92" spans="1:27" x14ac:dyDescent="0.25">
      <c r="A92" s="21" t="s">
        <v>65</v>
      </c>
      <c r="B92" s="46">
        <v>0</v>
      </c>
      <c r="C92" s="46">
        <v>0</v>
      </c>
      <c r="D92" s="46">
        <v>0</v>
      </c>
      <c r="E92" s="46">
        <v>8.9090000000000003E-5</v>
      </c>
      <c r="F92" s="46">
        <v>0</v>
      </c>
      <c r="G92" s="46">
        <v>9.5888799999999993E-3</v>
      </c>
      <c r="H92" s="46">
        <v>0.82398405000000008</v>
      </c>
      <c r="I92" s="46">
        <v>0.10199005</v>
      </c>
      <c r="J92" s="46">
        <v>0</v>
      </c>
      <c r="S92" s="18"/>
      <c r="T92" s="18"/>
      <c r="U92" s="18"/>
      <c r="V92" s="18"/>
      <c r="W92" s="18"/>
      <c r="X92" s="18"/>
      <c r="Y92" s="18"/>
      <c r="Z92" s="18"/>
      <c r="AA92" s="18"/>
    </row>
    <row r="93" spans="1:27" x14ac:dyDescent="0.25">
      <c r="A93" s="21" t="s">
        <v>197</v>
      </c>
      <c r="B93" s="46">
        <v>0</v>
      </c>
      <c r="C93" s="46">
        <v>3.2895019999999997E-2</v>
      </c>
      <c r="D93" s="46">
        <v>0</v>
      </c>
      <c r="E93" s="46">
        <v>8.3351830000000096</v>
      </c>
      <c r="F93" s="46">
        <v>2.6249999999999998E-4</v>
      </c>
      <c r="G93" s="46">
        <v>6.5183798900000101</v>
      </c>
      <c r="H93" s="46">
        <v>0.82274521999999994</v>
      </c>
      <c r="I93" s="46">
        <v>0.86523405000000009</v>
      </c>
      <c r="J93" s="46">
        <v>3.2301990000000003E-2</v>
      </c>
      <c r="S93" s="18"/>
      <c r="T93" s="18"/>
      <c r="U93" s="18"/>
      <c r="V93" s="18"/>
      <c r="W93" s="18"/>
      <c r="X93" s="18"/>
      <c r="Y93" s="18"/>
      <c r="Z93" s="18"/>
      <c r="AA93" s="18"/>
    </row>
    <row r="94" spans="1:27" x14ac:dyDescent="0.25">
      <c r="A94" s="21" t="s">
        <v>13</v>
      </c>
      <c r="B94" s="46">
        <v>0</v>
      </c>
      <c r="C94" s="46">
        <v>0</v>
      </c>
      <c r="D94" s="46">
        <v>0</v>
      </c>
      <c r="E94" s="46">
        <v>0.56061918000000011</v>
      </c>
      <c r="F94" s="46">
        <v>0</v>
      </c>
      <c r="G94" s="46">
        <v>3.6749999999999999E-4</v>
      </c>
      <c r="H94" s="46">
        <v>0.81032971999999992</v>
      </c>
      <c r="I94" s="46">
        <v>0.79265122999999993</v>
      </c>
      <c r="J94" s="46">
        <v>0</v>
      </c>
      <c r="S94" s="18"/>
      <c r="T94" s="18"/>
      <c r="U94" s="18"/>
      <c r="V94" s="18"/>
      <c r="W94" s="18"/>
      <c r="X94" s="18"/>
      <c r="Y94" s="18"/>
      <c r="Z94" s="18"/>
      <c r="AA94" s="18"/>
    </row>
    <row r="95" spans="1:27" x14ac:dyDescent="0.25">
      <c r="A95" s="21" t="s">
        <v>27</v>
      </c>
      <c r="B95" s="46">
        <v>0</v>
      </c>
      <c r="C95" s="46">
        <v>11.17325277</v>
      </c>
      <c r="D95" s="46">
        <v>0</v>
      </c>
      <c r="E95" s="46">
        <v>67.046570639999999</v>
      </c>
      <c r="F95" s="46">
        <v>0</v>
      </c>
      <c r="G95" s="46">
        <v>2.2965900000000003E-3</v>
      </c>
      <c r="H95" s="46">
        <v>0.80722667000000004</v>
      </c>
      <c r="I95" s="46">
        <v>2.50573596</v>
      </c>
      <c r="J95" s="46">
        <v>11.673259269999999</v>
      </c>
      <c r="S95" s="18"/>
      <c r="T95" s="18"/>
      <c r="U95" s="18"/>
      <c r="V95" s="18"/>
      <c r="W95" s="18"/>
      <c r="X95" s="18"/>
      <c r="Y95" s="18"/>
      <c r="Z95" s="18"/>
      <c r="AA95" s="18"/>
    </row>
    <row r="96" spans="1:27" x14ac:dyDescent="0.25">
      <c r="A96" s="21" t="s">
        <v>78</v>
      </c>
      <c r="B96" s="46">
        <v>0</v>
      </c>
      <c r="C96" s="46">
        <v>0</v>
      </c>
      <c r="D96" s="46">
        <v>0</v>
      </c>
      <c r="E96" s="46">
        <v>6.5783090000000002E-2</v>
      </c>
      <c r="F96" s="46">
        <v>0</v>
      </c>
      <c r="G96" s="46">
        <v>4.3463699999999996E-3</v>
      </c>
      <c r="H96" s="46">
        <v>0.79968799999999995</v>
      </c>
      <c r="I96" s="46">
        <v>0.80765043000000003</v>
      </c>
      <c r="J96" s="46">
        <v>0</v>
      </c>
      <c r="S96" s="18"/>
      <c r="T96" s="18"/>
      <c r="U96" s="18"/>
      <c r="V96" s="18"/>
      <c r="W96" s="18"/>
      <c r="X96" s="18"/>
      <c r="Y96" s="18"/>
      <c r="Z96" s="18"/>
      <c r="AA96" s="18"/>
    </row>
    <row r="97" spans="1:27" x14ac:dyDescent="0.25">
      <c r="A97" s="21" t="s">
        <v>123</v>
      </c>
      <c r="B97" s="46">
        <v>0</v>
      </c>
      <c r="C97" s="46">
        <v>0</v>
      </c>
      <c r="D97" s="46">
        <v>0</v>
      </c>
      <c r="E97" s="46">
        <v>6.6718814000000002</v>
      </c>
      <c r="F97" s="46">
        <v>0</v>
      </c>
      <c r="G97" s="46">
        <v>1.77396606</v>
      </c>
      <c r="H97" s="46">
        <v>0.76838026000000004</v>
      </c>
      <c r="I97" s="46">
        <v>0.76549511999999997</v>
      </c>
      <c r="J97" s="46">
        <v>0</v>
      </c>
      <c r="S97" s="18"/>
      <c r="T97" s="18"/>
      <c r="U97" s="18"/>
      <c r="V97" s="18"/>
      <c r="W97" s="18"/>
      <c r="X97" s="18"/>
      <c r="Y97" s="18"/>
      <c r="Z97" s="18"/>
      <c r="AA97" s="18"/>
    </row>
    <row r="98" spans="1:27" x14ac:dyDescent="0.25">
      <c r="A98" s="21" t="s">
        <v>207</v>
      </c>
      <c r="B98" s="46">
        <v>5.9725999999999996E-4</v>
      </c>
      <c r="C98" s="46">
        <v>5.9725999999999996E-4</v>
      </c>
      <c r="D98" s="46">
        <v>0</v>
      </c>
      <c r="E98" s="46">
        <v>21.0360916899999</v>
      </c>
      <c r="F98" s="46">
        <v>1.3479290000000001E-2</v>
      </c>
      <c r="G98" s="46">
        <v>0.71821055</v>
      </c>
      <c r="H98" s="46">
        <v>0.74636317000000008</v>
      </c>
      <c r="I98" s="46">
        <v>1.6746458</v>
      </c>
      <c r="J98" s="46">
        <v>0</v>
      </c>
      <c r="S98" s="18"/>
      <c r="T98" s="18"/>
      <c r="U98" s="18"/>
      <c r="V98" s="18"/>
      <c r="W98" s="18"/>
      <c r="X98" s="18"/>
      <c r="Y98" s="18"/>
      <c r="Z98" s="18"/>
      <c r="AA98" s="18"/>
    </row>
    <row r="99" spans="1:27" x14ac:dyDescent="0.25">
      <c r="A99" s="21" t="s">
        <v>198</v>
      </c>
      <c r="B99" s="46">
        <v>0</v>
      </c>
      <c r="C99" s="46">
        <v>2.056235E-2</v>
      </c>
      <c r="D99" s="46">
        <v>0.28181876</v>
      </c>
      <c r="E99" s="46">
        <v>19.326282920000001</v>
      </c>
      <c r="F99" s="46">
        <v>5.9319999999999998E-3</v>
      </c>
      <c r="G99" s="46">
        <v>17.370615190000002</v>
      </c>
      <c r="H99" s="46">
        <v>0.71448900999999998</v>
      </c>
      <c r="I99" s="46">
        <v>1.3669642900000001</v>
      </c>
      <c r="J99" s="46">
        <v>4.2050129999999998E-2</v>
      </c>
      <c r="S99" s="18"/>
      <c r="T99" s="18"/>
      <c r="U99" s="18"/>
      <c r="V99" s="18"/>
      <c r="W99" s="18"/>
      <c r="X99" s="18"/>
      <c r="Y99" s="18"/>
      <c r="Z99" s="18"/>
      <c r="AA99" s="18"/>
    </row>
    <row r="100" spans="1:27" x14ac:dyDescent="0.25">
      <c r="A100" s="21" t="s">
        <v>117</v>
      </c>
      <c r="B100" s="46">
        <v>0</v>
      </c>
      <c r="C100" s="46">
        <v>8.7560999999999997E-4</v>
      </c>
      <c r="D100" s="46">
        <v>3.8267230000000006E-2</v>
      </c>
      <c r="E100" s="46">
        <v>7.1958707899999999</v>
      </c>
      <c r="F100" s="46">
        <v>0.15564335999999998</v>
      </c>
      <c r="G100" s="46">
        <v>7.5263634999999898</v>
      </c>
      <c r="H100" s="46">
        <v>0.67620990000000003</v>
      </c>
      <c r="I100" s="46">
        <v>1.22249192</v>
      </c>
      <c r="J100" s="46">
        <v>0.99880854000000008</v>
      </c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x14ac:dyDescent="0.25">
      <c r="A101" s="21" t="s">
        <v>210</v>
      </c>
      <c r="B101" s="46">
        <v>1.2222000000000001E-3</v>
      </c>
      <c r="C101" s="46">
        <v>1.7602799999999999E-3</v>
      </c>
      <c r="D101" s="46">
        <v>0</v>
      </c>
      <c r="E101" s="46">
        <v>8.2653058799999997</v>
      </c>
      <c r="F101" s="46">
        <v>1.312985E-2</v>
      </c>
      <c r="G101" s="46">
        <v>3.1805673100000003</v>
      </c>
      <c r="H101" s="46">
        <v>0.60649922999999994</v>
      </c>
      <c r="I101" s="46">
        <v>1.6332143700000001</v>
      </c>
      <c r="J101" s="46">
        <v>5.3808000000000003E-4</v>
      </c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x14ac:dyDescent="0.25">
      <c r="A102" s="21" t="s">
        <v>199</v>
      </c>
      <c r="B102" s="46">
        <v>0</v>
      </c>
      <c r="C102" s="46">
        <v>0</v>
      </c>
      <c r="D102" s="46">
        <v>0</v>
      </c>
      <c r="E102" s="46">
        <v>0.11011172</v>
      </c>
      <c r="F102" s="46">
        <v>0</v>
      </c>
      <c r="G102" s="46">
        <v>0.25297090999999999</v>
      </c>
      <c r="H102" s="46">
        <v>0.59531118999999999</v>
      </c>
      <c r="I102" s="46">
        <v>0.81140842000000002</v>
      </c>
      <c r="J102" s="46">
        <v>0</v>
      </c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x14ac:dyDescent="0.25">
      <c r="A103" s="21" t="s">
        <v>168</v>
      </c>
      <c r="B103" s="46">
        <v>1.8168973700000002</v>
      </c>
      <c r="C103" s="46">
        <v>1.8168973700000002</v>
      </c>
      <c r="D103" s="46">
        <v>0</v>
      </c>
      <c r="E103" s="46">
        <v>5.8309681399999995</v>
      </c>
      <c r="F103" s="46">
        <v>0</v>
      </c>
      <c r="G103" s="46">
        <v>18.24054727</v>
      </c>
      <c r="H103" s="46">
        <v>0.57199347999999994</v>
      </c>
      <c r="I103" s="46">
        <v>0.78760039000000004</v>
      </c>
      <c r="J103" s="46">
        <v>0</v>
      </c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x14ac:dyDescent="0.25">
      <c r="A104" s="21" t="s">
        <v>25</v>
      </c>
      <c r="B104" s="46">
        <v>0</v>
      </c>
      <c r="C104" s="46">
        <v>0.32936590999999998</v>
      </c>
      <c r="D104" s="46">
        <v>0</v>
      </c>
      <c r="E104" s="46">
        <v>3.4626310199999999</v>
      </c>
      <c r="F104" s="46">
        <v>0</v>
      </c>
      <c r="G104" s="46">
        <v>3.8822589999999997E-2</v>
      </c>
      <c r="H104" s="46">
        <v>0.52767529000000002</v>
      </c>
      <c r="I104" s="46">
        <v>0.60531111999999998</v>
      </c>
      <c r="J104" s="46">
        <v>0.32936590999999998</v>
      </c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x14ac:dyDescent="0.25">
      <c r="A105" s="21" t="s">
        <v>189</v>
      </c>
      <c r="B105" s="46">
        <v>0</v>
      </c>
      <c r="C105" s="46">
        <v>2.064098E-2</v>
      </c>
      <c r="D105" s="46">
        <v>0.22954601999999999</v>
      </c>
      <c r="E105" s="46">
        <v>47.796186299999995</v>
      </c>
      <c r="F105" s="46">
        <v>1.2399900000000001E-3</v>
      </c>
      <c r="G105" s="46">
        <v>10.749835150000001</v>
      </c>
      <c r="H105" s="46">
        <v>0.52372190000000007</v>
      </c>
      <c r="I105" s="46">
        <v>1.8482184799999999</v>
      </c>
      <c r="J105" s="46">
        <v>2.4950130000000001E-2</v>
      </c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x14ac:dyDescent="0.25">
      <c r="A106" s="21" t="s">
        <v>188</v>
      </c>
      <c r="B106" s="46">
        <v>0</v>
      </c>
      <c r="C106" s="46">
        <v>0</v>
      </c>
      <c r="D106" s="46">
        <v>0</v>
      </c>
      <c r="E106" s="46">
        <v>8.2590851199999999</v>
      </c>
      <c r="F106" s="46">
        <v>0</v>
      </c>
      <c r="G106" s="46">
        <v>9.6558596100000003</v>
      </c>
      <c r="H106" s="46">
        <v>0.51252596000000006</v>
      </c>
      <c r="I106" s="46">
        <v>1.5671971200000001</v>
      </c>
      <c r="J106" s="46">
        <v>0</v>
      </c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x14ac:dyDescent="0.25">
      <c r="A107" s="21" t="s">
        <v>74</v>
      </c>
      <c r="B107" s="46">
        <v>0</v>
      </c>
      <c r="C107" s="46">
        <v>0</v>
      </c>
      <c r="D107" s="46">
        <v>0</v>
      </c>
      <c r="E107" s="46">
        <v>22.984492059999997</v>
      </c>
      <c r="F107" s="46">
        <v>6.3E-2</v>
      </c>
      <c r="G107" s="46">
        <v>23.767966449999999</v>
      </c>
      <c r="H107" s="46">
        <v>0.50909983999999997</v>
      </c>
      <c r="I107" s="46">
        <v>0.64708195999999996</v>
      </c>
      <c r="J107" s="46">
        <v>0</v>
      </c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x14ac:dyDescent="0.25">
      <c r="A108" s="21" t="s">
        <v>9</v>
      </c>
      <c r="B108" s="46">
        <v>0</v>
      </c>
      <c r="C108" s="46">
        <v>0</v>
      </c>
      <c r="D108" s="46">
        <v>0</v>
      </c>
      <c r="E108" s="46">
        <v>0.11808002000000001</v>
      </c>
      <c r="F108" s="46">
        <v>0</v>
      </c>
      <c r="G108" s="46">
        <v>1.27597E-3</v>
      </c>
      <c r="H108" s="46">
        <v>0.49021846000000002</v>
      </c>
      <c r="I108" s="46">
        <v>0.49021846000000002</v>
      </c>
      <c r="J108" s="46">
        <v>0</v>
      </c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x14ac:dyDescent="0.25">
      <c r="A109" s="21" t="s">
        <v>167</v>
      </c>
      <c r="B109" s="46">
        <v>0</v>
      </c>
      <c r="C109" s="46">
        <v>0</v>
      </c>
      <c r="D109" s="46">
        <v>0</v>
      </c>
      <c r="E109" s="46">
        <v>1.3691057900000001</v>
      </c>
      <c r="F109" s="46">
        <v>0</v>
      </c>
      <c r="G109" s="46">
        <v>1.57348804</v>
      </c>
      <c r="H109" s="46">
        <v>0.47323039</v>
      </c>
      <c r="I109" s="46">
        <v>0.85739889000000002</v>
      </c>
      <c r="J109" s="46">
        <v>0</v>
      </c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x14ac:dyDescent="0.25">
      <c r="A110" s="21" t="s">
        <v>23</v>
      </c>
      <c r="B110" s="46">
        <v>0.26412822999999996</v>
      </c>
      <c r="C110" s="46">
        <v>0.46023462999999998</v>
      </c>
      <c r="D110" s="46">
        <v>0.13793435000000001</v>
      </c>
      <c r="E110" s="46">
        <v>8.2850534100000104</v>
      </c>
      <c r="F110" s="46">
        <v>1.1343524599999999</v>
      </c>
      <c r="G110" s="46">
        <v>0.38377746999999995</v>
      </c>
      <c r="H110" s="46">
        <v>0.46665730999999999</v>
      </c>
      <c r="I110" s="46">
        <v>1.72922</v>
      </c>
      <c r="J110" s="46">
        <v>0.25585622000000002</v>
      </c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x14ac:dyDescent="0.25">
      <c r="A111" s="21" t="s">
        <v>191</v>
      </c>
      <c r="B111" s="46">
        <v>0</v>
      </c>
      <c r="C111" s="46">
        <v>3.3202836099999997</v>
      </c>
      <c r="D111" s="46">
        <v>0</v>
      </c>
      <c r="E111" s="46">
        <v>14.955645890000001</v>
      </c>
      <c r="F111" s="46">
        <v>1.71152E-3</v>
      </c>
      <c r="G111" s="46">
        <v>5.8516319900000004</v>
      </c>
      <c r="H111" s="46">
        <v>0.42245733000000002</v>
      </c>
      <c r="I111" s="46">
        <v>0.54611591000000004</v>
      </c>
      <c r="J111" s="46">
        <v>3.27953166</v>
      </c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x14ac:dyDescent="0.25">
      <c r="A112" s="21" t="s">
        <v>350</v>
      </c>
      <c r="B112" s="46">
        <v>0</v>
      </c>
      <c r="C112" s="46">
        <v>0</v>
      </c>
      <c r="D112" s="46">
        <v>0</v>
      </c>
      <c r="E112" s="46">
        <v>17.528731879999999</v>
      </c>
      <c r="F112" s="46">
        <v>1.5994410000000001E-2</v>
      </c>
      <c r="G112" s="46">
        <v>9.0238000000000004E-4</v>
      </c>
      <c r="H112" s="46">
        <v>0.39785764000000001</v>
      </c>
      <c r="I112" s="46">
        <v>0.41385204999999997</v>
      </c>
      <c r="J112" s="46">
        <v>0</v>
      </c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x14ac:dyDescent="0.25">
      <c r="A113" s="21" t="s">
        <v>204</v>
      </c>
      <c r="B113" s="46">
        <v>5.3720699999999996E-3</v>
      </c>
      <c r="C113" s="46">
        <v>6.7882899999999998E-3</v>
      </c>
      <c r="D113" s="46">
        <v>9.5970000000000007E-4</v>
      </c>
      <c r="E113" s="46">
        <v>19.00639052</v>
      </c>
      <c r="F113" s="46">
        <v>0</v>
      </c>
      <c r="G113" s="46">
        <v>3.4083039700000004</v>
      </c>
      <c r="H113" s="46">
        <v>0.38056172999999999</v>
      </c>
      <c r="I113" s="46">
        <v>0.97398605000000005</v>
      </c>
      <c r="J113" s="46">
        <v>0</v>
      </c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x14ac:dyDescent="0.25">
      <c r="A114" s="21" t="s">
        <v>82</v>
      </c>
      <c r="B114" s="46">
        <v>0</v>
      </c>
      <c r="C114" s="46">
        <v>19.215729750000001</v>
      </c>
      <c r="D114" s="46">
        <v>1.617E-4</v>
      </c>
      <c r="E114" s="46">
        <v>22.800638800000002</v>
      </c>
      <c r="F114" s="46">
        <v>0</v>
      </c>
      <c r="G114" s="46">
        <v>3.0559160099999998</v>
      </c>
      <c r="H114" s="46">
        <v>0.37486355999999998</v>
      </c>
      <c r="I114" s="46">
        <v>0.38285084999999996</v>
      </c>
      <c r="J114" s="46">
        <v>8.9815999999999995E-4</v>
      </c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x14ac:dyDescent="0.25">
      <c r="A115" s="21" t="s">
        <v>92</v>
      </c>
      <c r="B115" s="46">
        <v>0</v>
      </c>
      <c r="C115" s="46">
        <v>0</v>
      </c>
      <c r="D115" s="46">
        <v>0.62501249999999997</v>
      </c>
      <c r="E115" s="46">
        <v>15.433532919999999</v>
      </c>
      <c r="F115" s="46">
        <v>0</v>
      </c>
      <c r="G115" s="46">
        <v>6.7838302699999993</v>
      </c>
      <c r="H115" s="46">
        <v>0.36787064000000003</v>
      </c>
      <c r="I115" s="46">
        <v>0.49322746000000001</v>
      </c>
      <c r="J115" s="46">
        <v>0</v>
      </c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x14ac:dyDescent="0.25">
      <c r="A116" s="21" t="s">
        <v>20</v>
      </c>
      <c r="B116" s="46">
        <v>0</v>
      </c>
      <c r="C116" s="46">
        <v>0.60524109999999998</v>
      </c>
      <c r="D116" s="46">
        <v>0</v>
      </c>
      <c r="E116" s="46">
        <v>33.211036249999999</v>
      </c>
      <c r="F116" s="46">
        <v>0</v>
      </c>
      <c r="G116" s="46">
        <v>7.6025259999999997E-2</v>
      </c>
      <c r="H116" s="46">
        <v>0.34612596000000001</v>
      </c>
      <c r="I116" s="46">
        <v>0.30500590999999999</v>
      </c>
      <c r="J116" s="46">
        <v>0.60524109999999998</v>
      </c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x14ac:dyDescent="0.25">
      <c r="A117" s="21" t="s">
        <v>187</v>
      </c>
      <c r="B117" s="46">
        <v>0</v>
      </c>
      <c r="C117" s="46">
        <v>0</v>
      </c>
      <c r="D117" s="46">
        <v>0</v>
      </c>
      <c r="E117" s="46">
        <v>5.5599504900000003</v>
      </c>
      <c r="F117" s="46">
        <v>0</v>
      </c>
      <c r="G117" s="46">
        <v>0.38356096000000001</v>
      </c>
      <c r="H117" s="46">
        <v>0.34202972999999998</v>
      </c>
      <c r="I117" s="46">
        <v>0.95181093000000005</v>
      </c>
      <c r="J117" s="46">
        <v>0</v>
      </c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x14ac:dyDescent="0.25">
      <c r="A118" s="21" t="s">
        <v>379</v>
      </c>
      <c r="B118" s="46">
        <v>0</v>
      </c>
      <c r="C118" s="46">
        <v>0</v>
      </c>
      <c r="D118" s="46">
        <v>0</v>
      </c>
      <c r="E118" s="46">
        <v>0.18172217000000002</v>
      </c>
      <c r="F118" s="46">
        <v>0</v>
      </c>
      <c r="G118" s="46">
        <v>1.6558080000000003E-2</v>
      </c>
      <c r="H118" s="46">
        <v>0.33856449999999999</v>
      </c>
      <c r="I118" s="46">
        <v>0.34440292</v>
      </c>
      <c r="J118" s="46">
        <v>0</v>
      </c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x14ac:dyDescent="0.25">
      <c r="A119" s="21" t="s">
        <v>137</v>
      </c>
      <c r="B119" s="46">
        <v>5.7392980000000003E-2</v>
      </c>
      <c r="C119" s="46">
        <v>5.9963959999999997E-2</v>
      </c>
      <c r="D119" s="46">
        <v>1.5434999999999998E-4</v>
      </c>
      <c r="E119" s="46">
        <v>10.317078089999999</v>
      </c>
      <c r="F119" s="46">
        <v>0</v>
      </c>
      <c r="G119" s="46">
        <v>5.8056365099999994</v>
      </c>
      <c r="H119" s="46">
        <v>0.31648129999999997</v>
      </c>
      <c r="I119" s="46">
        <v>0.3393449</v>
      </c>
      <c r="J119" s="46">
        <v>2.5709800000000001E-3</v>
      </c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x14ac:dyDescent="0.25">
      <c r="A120" s="21" t="s">
        <v>125</v>
      </c>
      <c r="B120" s="46">
        <v>0</v>
      </c>
      <c r="C120" s="46">
        <v>2.7119509999999999E-2</v>
      </c>
      <c r="D120" s="46">
        <v>0.10078769999999999</v>
      </c>
      <c r="E120" s="46">
        <v>36.546541310000002</v>
      </c>
      <c r="F120" s="46">
        <v>0</v>
      </c>
      <c r="G120" s="46">
        <v>1.1134728200000001</v>
      </c>
      <c r="H120" s="46">
        <v>0.31387890000000002</v>
      </c>
      <c r="I120" s="46">
        <v>0.36162746999999995</v>
      </c>
      <c r="J120" s="46">
        <v>2.7119509999999999E-2</v>
      </c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x14ac:dyDescent="0.25">
      <c r="A121" s="21" t="s">
        <v>103</v>
      </c>
      <c r="B121" s="46">
        <v>0</v>
      </c>
      <c r="C121" s="46">
        <v>0</v>
      </c>
      <c r="D121" s="46">
        <v>0</v>
      </c>
      <c r="E121" s="46">
        <v>13.654328339999999</v>
      </c>
      <c r="F121" s="46">
        <v>0</v>
      </c>
      <c r="G121" s="46">
        <v>0.37241879</v>
      </c>
      <c r="H121" s="46">
        <v>0.30402470000000004</v>
      </c>
      <c r="I121" s="46">
        <v>0.31508415000000001</v>
      </c>
      <c r="J121" s="46">
        <v>3.7946430000000003E-2</v>
      </c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x14ac:dyDescent="0.25">
      <c r="A122" s="21" t="s">
        <v>685</v>
      </c>
      <c r="B122" s="46">
        <v>0</v>
      </c>
      <c r="C122" s="46">
        <v>0</v>
      </c>
      <c r="D122" s="46">
        <v>0</v>
      </c>
      <c r="E122" s="46">
        <v>3.58197922</v>
      </c>
      <c r="F122" s="46">
        <v>1.48223E-3</v>
      </c>
      <c r="G122" s="46">
        <v>1.1263695600000001</v>
      </c>
      <c r="H122" s="46">
        <v>0.29844959000000004</v>
      </c>
      <c r="I122" s="46">
        <v>0.30385186999999997</v>
      </c>
      <c r="J122" s="46">
        <v>0</v>
      </c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x14ac:dyDescent="0.25">
      <c r="A123" s="21" t="s">
        <v>118</v>
      </c>
      <c r="B123" s="46">
        <v>1.126282E-2</v>
      </c>
      <c r="C123" s="46">
        <v>1.126282E-2</v>
      </c>
      <c r="D123" s="46">
        <v>1.6164290000000001E-2</v>
      </c>
      <c r="E123" s="46">
        <v>7.6051676600000002</v>
      </c>
      <c r="F123" s="46">
        <v>0</v>
      </c>
      <c r="G123" s="46">
        <v>1.72036626</v>
      </c>
      <c r="H123" s="46">
        <v>0.29715664000000003</v>
      </c>
      <c r="I123" s="46">
        <v>1.1993949699999999</v>
      </c>
      <c r="J123" s="46">
        <v>0</v>
      </c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x14ac:dyDescent="0.25">
      <c r="A124" s="21" t="s">
        <v>72</v>
      </c>
      <c r="B124" s="46">
        <v>0</v>
      </c>
      <c r="C124" s="46">
        <v>0.39315149999999999</v>
      </c>
      <c r="D124" s="46">
        <v>0</v>
      </c>
      <c r="E124" s="46">
        <v>1.7367364299999999</v>
      </c>
      <c r="F124" s="46">
        <v>2.0770200000000002E-3</v>
      </c>
      <c r="G124" s="46">
        <v>1.6096746899999999</v>
      </c>
      <c r="H124" s="46">
        <v>0.29686718000000001</v>
      </c>
      <c r="I124" s="46">
        <v>0.29894419999999999</v>
      </c>
      <c r="J124" s="46">
        <v>0</v>
      </c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x14ac:dyDescent="0.25">
      <c r="A125" s="21" t="s">
        <v>155</v>
      </c>
      <c r="B125" s="46">
        <v>0</v>
      </c>
      <c r="C125" s="46">
        <v>1.4215999999999999E-3</v>
      </c>
      <c r="D125" s="46">
        <v>0</v>
      </c>
      <c r="E125" s="46">
        <v>1.7693040200000001</v>
      </c>
      <c r="F125" s="46">
        <v>4.4677099999999997E-2</v>
      </c>
      <c r="G125" s="46">
        <v>2.51024907</v>
      </c>
      <c r="H125" s="46">
        <v>0.29288586</v>
      </c>
      <c r="I125" s="46">
        <v>0.61273149999999998</v>
      </c>
      <c r="J125" s="46">
        <v>1.4215999999999999E-3</v>
      </c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x14ac:dyDescent="0.25">
      <c r="A126" s="21" t="s">
        <v>196</v>
      </c>
      <c r="B126" s="46">
        <v>0</v>
      </c>
      <c r="C126" s="46">
        <v>0.62649798999999995</v>
      </c>
      <c r="D126" s="46">
        <v>0</v>
      </c>
      <c r="E126" s="46">
        <v>4.8195312999999995</v>
      </c>
      <c r="F126" s="46">
        <v>2.8432229999999999E-2</v>
      </c>
      <c r="G126" s="46">
        <v>3.5448282</v>
      </c>
      <c r="H126" s="46">
        <v>0.28093657999999999</v>
      </c>
      <c r="I126" s="46">
        <v>0.19574849</v>
      </c>
      <c r="J126" s="46">
        <v>4.4654309999999996E-2</v>
      </c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x14ac:dyDescent="0.25">
      <c r="A127" s="21" t="s">
        <v>19</v>
      </c>
      <c r="B127" s="46">
        <v>3.07996E-2</v>
      </c>
      <c r="C127" s="46">
        <v>0.11061372</v>
      </c>
      <c r="D127" s="46">
        <v>9.2590999999999995E-4</v>
      </c>
      <c r="E127" s="46">
        <v>13.923138869999999</v>
      </c>
      <c r="F127" s="46">
        <v>0</v>
      </c>
      <c r="G127" s="46">
        <v>0.28852613999999999</v>
      </c>
      <c r="H127" s="46">
        <v>0.27293784999999998</v>
      </c>
      <c r="I127" s="46">
        <v>0.18280432000000002</v>
      </c>
      <c r="J127" s="46">
        <v>0</v>
      </c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x14ac:dyDescent="0.25">
      <c r="A128" s="21" t="s">
        <v>177</v>
      </c>
      <c r="B128" s="46">
        <v>0</v>
      </c>
      <c r="C128" s="46">
        <v>0</v>
      </c>
      <c r="D128" s="46">
        <v>0</v>
      </c>
      <c r="E128" s="46">
        <v>3.1263906000000001</v>
      </c>
      <c r="F128" s="46">
        <v>1.0497899999999999E-2</v>
      </c>
      <c r="G128" s="46">
        <v>108.34495159000001</v>
      </c>
      <c r="H128" s="46">
        <v>0.26708400999999998</v>
      </c>
      <c r="I128" s="46">
        <v>0.52317440999999998</v>
      </c>
      <c r="J128" s="46">
        <v>0</v>
      </c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x14ac:dyDescent="0.25">
      <c r="A129" s="21" t="s">
        <v>192</v>
      </c>
      <c r="B129" s="46">
        <v>0</v>
      </c>
      <c r="C129" s="46">
        <v>0.87697851000000004</v>
      </c>
      <c r="D129" s="46">
        <v>0</v>
      </c>
      <c r="E129" s="46">
        <v>18.075075129999998</v>
      </c>
      <c r="F129" s="46">
        <v>4.1433400000000006E-3</v>
      </c>
      <c r="G129" s="46">
        <v>6.23772140999999</v>
      </c>
      <c r="H129" s="46">
        <v>0.26655369000000001</v>
      </c>
      <c r="I129" s="46">
        <v>0.29745069000000002</v>
      </c>
      <c r="J129" s="46">
        <v>0.61225693000000003</v>
      </c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x14ac:dyDescent="0.25">
      <c r="A130" s="21" t="s">
        <v>129</v>
      </c>
      <c r="B130" s="46">
        <v>0</v>
      </c>
      <c r="C130" s="46">
        <v>0</v>
      </c>
      <c r="D130" s="46">
        <v>0</v>
      </c>
      <c r="E130" s="46">
        <v>3.8054266000000001</v>
      </c>
      <c r="F130" s="46">
        <v>2.9963E-4</v>
      </c>
      <c r="G130" s="46">
        <v>9.2018264399999996</v>
      </c>
      <c r="H130" s="46">
        <v>0.24607304000000002</v>
      </c>
      <c r="I130" s="46">
        <v>0.26399624999999999</v>
      </c>
      <c r="J130" s="46">
        <v>0</v>
      </c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x14ac:dyDescent="0.25">
      <c r="A131" s="21" t="s">
        <v>94</v>
      </c>
      <c r="B131" s="46">
        <v>0</v>
      </c>
      <c r="C131" s="46">
        <v>0</v>
      </c>
      <c r="D131" s="46">
        <v>0</v>
      </c>
      <c r="E131" s="46">
        <v>25.152991289999999</v>
      </c>
      <c r="F131" s="46">
        <v>0</v>
      </c>
      <c r="G131" s="46">
        <v>4.94343E-2</v>
      </c>
      <c r="H131" s="46">
        <v>0.21369941000000001</v>
      </c>
      <c r="I131" s="46">
        <v>0.80500041</v>
      </c>
      <c r="J131" s="46">
        <v>0</v>
      </c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x14ac:dyDescent="0.25">
      <c r="A132" s="21" t="s">
        <v>104</v>
      </c>
      <c r="B132" s="46">
        <v>5.8246000000000003E-4</v>
      </c>
      <c r="C132" s="46">
        <v>5.8246000000000003E-4</v>
      </c>
      <c r="D132" s="46">
        <v>5.0910320000000002E-2</v>
      </c>
      <c r="E132" s="46">
        <v>11.437677240000001</v>
      </c>
      <c r="F132" s="46">
        <v>0</v>
      </c>
      <c r="G132" s="46">
        <v>1.5947519299999999</v>
      </c>
      <c r="H132" s="46">
        <v>0.19715848</v>
      </c>
      <c r="I132" s="46">
        <v>0.79517652999999999</v>
      </c>
      <c r="J132" s="46">
        <v>0</v>
      </c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x14ac:dyDescent="0.25">
      <c r="A133" s="21" t="s">
        <v>190</v>
      </c>
      <c r="B133" s="46">
        <v>0</v>
      </c>
      <c r="C133" s="46">
        <v>0.11211571000000001</v>
      </c>
      <c r="D133" s="46">
        <v>0</v>
      </c>
      <c r="E133" s="46">
        <v>4.7705739800000098</v>
      </c>
      <c r="F133" s="46">
        <v>2.6995500000000002E-3</v>
      </c>
      <c r="G133" s="46">
        <v>13.247823310000001</v>
      </c>
      <c r="H133" s="46">
        <v>0.19067740999999999</v>
      </c>
      <c r="I133" s="46">
        <v>0.25928788000000003</v>
      </c>
      <c r="J133" s="46">
        <v>0.11036583</v>
      </c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x14ac:dyDescent="0.25">
      <c r="A134" s="21" t="s">
        <v>201</v>
      </c>
      <c r="B134" s="46">
        <v>0</v>
      </c>
      <c r="C134" s="46">
        <v>1.0329700000000001E-2</v>
      </c>
      <c r="D134" s="46">
        <v>3.0168000000000003E-4</v>
      </c>
      <c r="E134" s="46">
        <v>0.20778054999999998</v>
      </c>
      <c r="F134" s="46">
        <v>0</v>
      </c>
      <c r="G134" s="46">
        <v>0.74219430000000008</v>
      </c>
      <c r="H134" s="46">
        <v>0.1865965</v>
      </c>
      <c r="I134" s="46">
        <v>0.26302696000000003</v>
      </c>
      <c r="J134" s="46">
        <v>1.0329700000000001E-2</v>
      </c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x14ac:dyDescent="0.25">
      <c r="A135" s="21" t="s">
        <v>86</v>
      </c>
      <c r="B135" s="46">
        <v>0</v>
      </c>
      <c r="C135" s="46">
        <v>0</v>
      </c>
      <c r="D135" s="46">
        <v>0</v>
      </c>
      <c r="E135" s="46">
        <v>9.1836009999999995</v>
      </c>
      <c r="F135" s="46">
        <v>0</v>
      </c>
      <c r="G135" s="46">
        <v>3.4265900000000002E-3</v>
      </c>
      <c r="H135" s="46">
        <v>0.18601899999999999</v>
      </c>
      <c r="I135" s="46">
        <v>13.39543943</v>
      </c>
      <c r="J135" s="46">
        <v>0</v>
      </c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x14ac:dyDescent="0.25">
      <c r="A136" s="21" t="s">
        <v>4</v>
      </c>
      <c r="B136" s="46">
        <v>0</v>
      </c>
      <c r="C136" s="46">
        <v>0</v>
      </c>
      <c r="D136" s="46">
        <v>0</v>
      </c>
      <c r="E136" s="46">
        <v>14.678839609999999</v>
      </c>
      <c r="F136" s="46">
        <v>0</v>
      </c>
      <c r="G136" s="46">
        <v>0.89006176000000004</v>
      </c>
      <c r="H136" s="46">
        <v>0.18382585000000001</v>
      </c>
      <c r="I136" s="46">
        <v>0.13047859000000001</v>
      </c>
      <c r="J136" s="46">
        <v>0</v>
      </c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x14ac:dyDescent="0.25">
      <c r="A137" s="21" t="s">
        <v>194</v>
      </c>
      <c r="B137" s="46">
        <v>0</v>
      </c>
      <c r="C137" s="46">
        <v>8.6780899999999994E-2</v>
      </c>
      <c r="D137" s="46">
        <v>0</v>
      </c>
      <c r="E137" s="46">
        <v>8.2870818800000006</v>
      </c>
      <c r="F137" s="46">
        <v>6.8565999999999994E-4</v>
      </c>
      <c r="G137" s="46">
        <v>6.91651561000001</v>
      </c>
      <c r="H137" s="46">
        <v>0.16965279999999999</v>
      </c>
      <c r="I137" s="46">
        <v>9.8396720000000007E-2</v>
      </c>
      <c r="J137" s="46">
        <v>0.20205600000000001</v>
      </c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x14ac:dyDescent="0.25">
      <c r="A138" s="21" t="s">
        <v>120</v>
      </c>
      <c r="B138" s="46">
        <v>0</v>
      </c>
      <c r="C138" s="46">
        <v>0</v>
      </c>
      <c r="D138" s="46">
        <v>9.3659000000000006E-4</v>
      </c>
      <c r="E138" s="46">
        <v>2.4221914300000003</v>
      </c>
      <c r="F138" s="46">
        <v>0</v>
      </c>
      <c r="G138" s="46">
        <v>3.0636980499999997</v>
      </c>
      <c r="H138" s="46">
        <v>0.16748903000000001</v>
      </c>
      <c r="I138" s="46">
        <v>0.17915259</v>
      </c>
      <c r="J138" s="46">
        <v>0</v>
      </c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x14ac:dyDescent="0.25">
      <c r="A139" s="21" t="s">
        <v>186</v>
      </c>
      <c r="B139" s="46">
        <v>0</v>
      </c>
      <c r="C139" s="46">
        <v>0</v>
      </c>
      <c r="D139" s="46">
        <v>0</v>
      </c>
      <c r="E139" s="46">
        <v>0.81058417000000005</v>
      </c>
      <c r="F139" s="46">
        <v>0</v>
      </c>
      <c r="G139" s="46">
        <v>1.32439898</v>
      </c>
      <c r="H139" s="46">
        <v>0.16441744</v>
      </c>
      <c r="I139" s="46">
        <v>1.9952953200000001</v>
      </c>
      <c r="J139" s="46">
        <v>0</v>
      </c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x14ac:dyDescent="0.25">
      <c r="A140" s="21" t="s">
        <v>384</v>
      </c>
      <c r="B140" s="46">
        <v>0</v>
      </c>
      <c r="C140" s="46">
        <v>0</v>
      </c>
      <c r="D140" s="46">
        <v>0</v>
      </c>
      <c r="E140" s="46">
        <v>11.108460300000001</v>
      </c>
      <c r="F140" s="46">
        <v>0</v>
      </c>
      <c r="G140" s="46">
        <v>0</v>
      </c>
      <c r="H140" s="46">
        <v>0.14399447000000001</v>
      </c>
      <c r="I140" s="46">
        <v>0.14399447000000001</v>
      </c>
      <c r="J140" s="46">
        <v>0</v>
      </c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x14ac:dyDescent="0.25">
      <c r="A141" s="21" t="s">
        <v>31</v>
      </c>
      <c r="B141" s="46">
        <v>0</v>
      </c>
      <c r="C141" s="46">
        <v>0</v>
      </c>
      <c r="D141" s="46">
        <v>0</v>
      </c>
      <c r="E141" s="46">
        <v>25.117379789999998</v>
      </c>
      <c r="F141" s="46">
        <v>5.8249054299999994</v>
      </c>
      <c r="G141" s="46">
        <v>0.30152500999999998</v>
      </c>
      <c r="H141" s="46">
        <v>0.14103747</v>
      </c>
      <c r="I141" s="46">
        <v>5.9696147000000002</v>
      </c>
      <c r="J141" s="46">
        <v>0</v>
      </c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x14ac:dyDescent="0.25">
      <c r="A142" s="21" t="s">
        <v>169</v>
      </c>
      <c r="B142" s="46">
        <v>0</v>
      </c>
      <c r="C142" s="46">
        <v>0</v>
      </c>
      <c r="D142" s="46">
        <v>0</v>
      </c>
      <c r="E142" s="46">
        <v>0.21817057000000001</v>
      </c>
      <c r="F142" s="46">
        <v>0</v>
      </c>
      <c r="G142" s="46">
        <v>0.86636099</v>
      </c>
      <c r="H142" s="46">
        <v>0.13626623000000002</v>
      </c>
      <c r="I142" s="46">
        <v>0.33456942000000001</v>
      </c>
      <c r="J142" s="46">
        <v>0</v>
      </c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x14ac:dyDescent="0.25">
      <c r="A143" s="21" t="s">
        <v>376</v>
      </c>
      <c r="B143" s="46">
        <v>0</v>
      </c>
      <c r="C143" s="46">
        <v>0</v>
      </c>
      <c r="D143" s="46">
        <v>0</v>
      </c>
      <c r="E143" s="46">
        <v>1.184723E-2</v>
      </c>
      <c r="F143" s="46">
        <v>0</v>
      </c>
      <c r="G143" s="46">
        <v>2.701048E-2</v>
      </c>
      <c r="H143" s="46">
        <v>0.13514789999999999</v>
      </c>
      <c r="I143" s="46">
        <v>0.13645117000000001</v>
      </c>
      <c r="J143" s="46">
        <v>0</v>
      </c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x14ac:dyDescent="0.25">
      <c r="A144" s="21" t="s">
        <v>132</v>
      </c>
      <c r="B144" s="46">
        <v>0</v>
      </c>
      <c r="C144" s="46">
        <v>0</v>
      </c>
      <c r="D144" s="46">
        <v>0</v>
      </c>
      <c r="E144" s="46">
        <v>9.2402217300000089</v>
      </c>
      <c r="F144" s="46">
        <v>7.1359969999999995E-2</v>
      </c>
      <c r="G144" s="46">
        <v>0.87448266000000008</v>
      </c>
      <c r="H144" s="46">
        <v>0.13294812</v>
      </c>
      <c r="I144" s="46">
        <v>0.33112873999999998</v>
      </c>
      <c r="J144" s="46">
        <v>0</v>
      </c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x14ac:dyDescent="0.25">
      <c r="A145" s="21" t="s">
        <v>87</v>
      </c>
      <c r="B145" s="46">
        <v>0</v>
      </c>
      <c r="C145" s="46">
        <v>0</v>
      </c>
      <c r="D145" s="46">
        <v>0</v>
      </c>
      <c r="E145" s="46">
        <v>1.3428128100000001</v>
      </c>
      <c r="F145" s="46">
        <v>0</v>
      </c>
      <c r="G145" s="46">
        <v>0.10661213</v>
      </c>
      <c r="H145" s="46">
        <v>0.13194270000000002</v>
      </c>
      <c r="I145" s="46">
        <v>0.14152838000000001</v>
      </c>
      <c r="J145" s="46">
        <v>0</v>
      </c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x14ac:dyDescent="0.25">
      <c r="A146" s="21" t="s">
        <v>213</v>
      </c>
      <c r="B146" s="46">
        <v>0</v>
      </c>
      <c r="C146" s="46">
        <v>2.688867E-2</v>
      </c>
      <c r="D146" s="46">
        <v>0</v>
      </c>
      <c r="E146" s="46">
        <v>4.6272506</v>
      </c>
      <c r="F146" s="46">
        <v>1.5756E-4</v>
      </c>
      <c r="G146" s="46">
        <v>0.96601486000000003</v>
      </c>
      <c r="H146" s="46">
        <v>0.13147010000000001</v>
      </c>
      <c r="I146" s="46">
        <v>0.41326647</v>
      </c>
      <c r="J146" s="46">
        <v>2.688867E-2</v>
      </c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x14ac:dyDescent="0.25">
      <c r="A147" s="21" t="s">
        <v>68</v>
      </c>
      <c r="B147" s="46">
        <v>0</v>
      </c>
      <c r="C147" s="46">
        <v>0</v>
      </c>
      <c r="D147" s="46">
        <v>0</v>
      </c>
      <c r="E147" s="46">
        <v>0.79200389999999998</v>
      </c>
      <c r="F147" s="46">
        <v>1.575E-2</v>
      </c>
      <c r="G147" s="46">
        <v>0.52887678999999999</v>
      </c>
      <c r="H147" s="46">
        <v>0.12446067</v>
      </c>
      <c r="I147" s="46">
        <v>0.14021067000000001</v>
      </c>
      <c r="J147" s="46">
        <v>0</v>
      </c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x14ac:dyDescent="0.25">
      <c r="A148" s="21" t="s">
        <v>113</v>
      </c>
      <c r="B148" s="46">
        <v>2.2986892499999998</v>
      </c>
      <c r="C148" s="46">
        <v>2.3000283800000001</v>
      </c>
      <c r="D148" s="46">
        <v>0</v>
      </c>
      <c r="E148" s="46">
        <v>31.129324399999998</v>
      </c>
      <c r="F148" s="46">
        <v>0</v>
      </c>
      <c r="G148" s="46">
        <v>14.933799329999999</v>
      </c>
      <c r="H148" s="46">
        <v>0.12144658999999999</v>
      </c>
      <c r="I148" s="46">
        <v>0.34120311999999997</v>
      </c>
      <c r="J148" s="46">
        <v>2.22383E-3</v>
      </c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x14ac:dyDescent="0.25">
      <c r="A149" s="21" t="s">
        <v>368</v>
      </c>
      <c r="B149" s="46">
        <v>0</v>
      </c>
      <c r="C149" s="46">
        <v>0</v>
      </c>
      <c r="D149" s="46">
        <v>0</v>
      </c>
      <c r="E149" s="46">
        <v>0.19692256</v>
      </c>
      <c r="F149" s="46">
        <v>0</v>
      </c>
      <c r="G149" s="46">
        <v>0.15819376999999998</v>
      </c>
      <c r="H149" s="46">
        <v>0.11939408</v>
      </c>
      <c r="I149" s="46">
        <v>0.11939408</v>
      </c>
      <c r="J149" s="46">
        <v>0</v>
      </c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x14ac:dyDescent="0.25">
      <c r="A150" s="21" t="s">
        <v>11</v>
      </c>
      <c r="B150" s="46">
        <v>0</v>
      </c>
      <c r="C150" s="46">
        <v>0</v>
      </c>
      <c r="D150" s="46">
        <v>0</v>
      </c>
      <c r="E150" s="46">
        <v>6.9765535300000092</v>
      </c>
      <c r="F150" s="46">
        <v>0</v>
      </c>
      <c r="G150" s="46">
        <v>3.3662511099999999</v>
      </c>
      <c r="H150" s="46">
        <v>9.9527749999999998E-2</v>
      </c>
      <c r="I150" s="46">
        <v>9.9014160000000004E-2</v>
      </c>
      <c r="J150" s="46">
        <v>0</v>
      </c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x14ac:dyDescent="0.25">
      <c r="A151" s="21" t="s">
        <v>183</v>
      </c>
      <c r="B151" s="46">
        <v>0</v>
      </c>
      <c r="C151" s="46">
        <v>0</v>
      </c>
      <c r="D151" s="46">
        <v>0</v>
      </c>
      <c r="E151" s="46">
        <v>0.36958055000000001</v>
      </c>
      <c r="F151" s="46">
        <v>0</v>
      </c>
      <c r="G151" s="46">
        <v>1.3533000000000002E-4</v>
      </c>
      <c r="H151" s="46">
        <v>9.7960640000000002E-2</v>
      </c>
      <c r="I151" s="46">
        <v>9.7960640000000002E-2</v>
      </c>
      <c r="J151" s="46">
        <v>0</v>
      </c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x14ac:dyDescent="0.25">
      <c r="A152" s="21" t="s">
        <v>21</v>
      </c>
      <c r="B152" s="46">
        <v>0</v>
      </c>
      <c r="C152" s="46">
        <v>10.71758818</v>
      </c>
      <c r="D152" s="46">
        <v>0</v>
      </c>
      <c r="E152" s="46">
        <v>111.62390141</v>
      </c>
      <c r="F152" s="46">
        <v>0</v>
      </c>
      <c r="G152" s="46">
        <v>1.9357409999999999E-2</v>
      </c>
      <c r="H152" s="46">
        <v>9.6756519999999999E-2</v>
      </c>
      <c r="I152" s="46">
        <v>8.3300910000000006E-2</v>
      </c>
      <c r="J152" s="46">
        <v>0.32396158000000003</v>
      </c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x14ac:dyDescent="0.25">
      <c r="A153" s="21" t="s">
        <v>3</v>
      </c>
      <c r="B153" s="46">
        <v>0</v>
      </c>
      <c r="C153" s="46">
        <v>0</v>
      </c>
      <c r="D153" s="46">
        <v>0</v>
      </c>
      <c r="E153" s="46">
        <v>5.8340940000000001E-2</v>
      </c>
      <c r="F153" s="46">
        <v>0</v>
      </c>
      <c r="G153" s="46">
        <v>0</v>
      </c>
      <c r="H153" s="46">
        <v>9.2437210000000006E-2</v>
      </c>
      <c r="I153" s="46">
        <v>9.2437210000000006E-2</v>
      </c>
      <c r="J153" s="46">
        <v>0</v>
      </c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x14ac:dyDescent="0.25">
      <c r="A154" s="21" t="s">
        <v>378</v>
      </c>
      <c r="B154" s="46">
        <v>0</v>
      </c>
      <c r="C154" s="46">
        <v>0</v>
      </c>
      <c r="D154" s="46">
        <v>0</v>
      </c>
      <c r="E154" s="46">
        <v>0.21737495000000001</v>
      </c>
      <c r="F154" s="46">
        <v>0</v>
      </c>
      <c r="G154" s="46">
        <v>2.35221E-3</v>
      </c>
      <c r="H154" s="46">
        <v>9.1768530000000001E-2</v>
      </c>
      <c r="I154" s="46">
        <v>9.1768530000000001E-2</v>
      </c>
      <c r="J154" s="46">
        <v>0</v>
      </c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x14ac:dyDescent="0.25">
      <c r="A155" s="21" t="s">
        <v>98</v>
      </c>
      <c r="B155" s="46">
        <v>0</v>
      </c>
      <c r="C155" s="46">
        <v>0</v>
      </c>
      <c r="D155" s="46">
        <v>0</v>
      </c>
      <c r="E155" s="46">
        <v>0.27987086999999999</v>
      </c>
      <c r="F155" s="46">
        <v>0</v>
      </c>
      <c r="G155" s="46">
        <v>5.7085870000000004E-2</v>
      </c>
      <c r="H155" s="46">
        <v>8.5210600000000011E-2</v>
      </c>
      <c r="I155" s="46">
        <v>0.10049647</v>
      </c>
      <c r="J155" s="46">
        <v>0</v>
      </c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x14ac:dyDescent="0.25">
      <c r="A156" s="21" t="s">
        <v>185</v>
      </c>
      <c r="B156" s="46">
        <v>0</v>
      </c>
      <c r="C156" s="46">
        <v>0</v>
      </c>
      <c r="D156" s="46">
        <v>0</v>
      </c>
      <c r="E156" s="46">
        <v>0.26761351</v>
      </c>
      <c r="F156" s="46">
        <v>0</v>
      </c>
      <c r="G156" s="46">
        <v>2.9587249999999999E-2</v>
      </c>
      <c r="H156" s="46">
        <v>8.3736259999999993E-2</v>
      </c>
      <c r="I156" s="46">
        <v>8.3736259999999993E-2</v>
      </c>
      <c r="J156" s="46">
        <v>0</v>
      </c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x14ac:dyDescent="0.25">
      <c r="A157" s="21" t="s">
        <v>26</v>
      </c>
      <c r="B157" s="46">
        <v>1.898996E-2</v>
      </c>
      <c r="C157" s="46">
        <v>1.898996E-2</v>
      </c>
      <c r="D157" s="46">
        <v>0</v>
      </c>
      <c r="E157" s="46">
        <v>22.0036247</v>
      </c>
      <c r="F157" s="46">
        <v>0</v>
      </c>
      <c r="G157" s="46">
        <v>3.5728599999999999E-2</v>
      </c>
      <c r="H157" s="46">
        <v>8.2715289999999997E-2</v>
      </c>
      <c r="I157" s="46">
        <v>8.2715289999999997E-2</v>
      </c>
      <c r="J157" s="46">
        <v>4.32731E-3</v>
      </c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x14ac:dyDescent="0.25">
      <c r="A158" s="21" t="s">
        <v>205</v>
      </c>
      <c r="B158" s="46">
        <v>0</v>
      </c>
      <c r="C158" s="46">
        <v>7.4560000000000004E-5</v>
      </c>
      <c r="D158" s="46">
        <v>0</v>
      </c>
      <c r="E158" s="46">
        <v>0.70160795999999992</v>
      </c>
      <c r="F158" s="46">
        <v>8.5568720000000001E-2</v>
      </c>
      <c r="G158" s="46">
        <v>4.1044731700000003</v>
      </c>
      <c r="H158" s="46">
        <v>8.0890610000000002E-2</v>
      </c>
      <c r="I158" s="46">
        <v>0.24610525</v>
      </c>
      <c r="J158" s="46">
        <v>7.4560000000000004E-5</v>
      </c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x14ac:dyDescent="0.25">
      <c r="A159" s="21" t="s">
        <v>73</v>
      </c>
      <c r="B159" s="46">
        <v>0</v>
      </c>
      <c r="C159" s="46">
        <v>0</v>
      </c>
      <c r="D159" s="46">
        <v>0</v>
      </c>
      <c r="E159" s="46">
        <v>0.71365417000000009</v>
      </c>
      <c r="F159" s="46">
        <v>0</v>
      </c>
      <c r="G159" s="46">
        <v>0.11962578</v>
      </c>
      <c r="H159" s="46">
        <v>7.0719130000000005E-2</v>
      </c>
      <c r="I159" s="46">
        <v>1.8566703999999998</v>
      </c>
      <c r="J159" s="46">
        <v>0</v>
      </c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x14ac:dyDescent="0.25">
      <c r="A160" s="21" t="s">
        <v>193</v>
      </c>
      <c r="B160" s="46">
        <v>2.16175E-3</v>
      </c>
      <c r="C160" s="46">
        <v>0.34241984999999997</v>
      </c>
      <c r="D160" s="46">
        <v>0</v>
      </c>
      <c r="E160" s="46">
        <v>11.777952580000001</v>
      </c>
      <c r="F160" s="46">
        <v>1.150033E-2</v>
      </c>
      <c r="G160" s="46">
        <v>5.8423543399999893</v>
      </c>
      <c r="H160" s="46">
        <v>6.747425E-2</v>
      </c>
      <c r="I160" s="46">
        <v>9.8971450000000002E-2</v>
      </c>
      <c r="J160" s="46">
        <v>0.49599823999999998</v>
      </c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x14ac:dyDescent="0.25">
      <c r="A161" s="21" t="s">
        <v>349</v>
      </c>
      <c r="B161" s="46">
        <v>0</v>
      </c>
      <c r="C161" s="46">
        <v>0</v>
      </c>
      <c r="D161" s="46">
        <v>0</v>
      </c>
      <c r="E161" s="46">
        <v>3.1102427400000003</v>
      </c>
      <c r="F161" s="46">
        <v>0</v>
      </c>
      <c r="G161" s="46">
        <v>0.78808381000000005</v>
      </c>
      <c r="H161" s="46">
        <v>6.563244E-2</v>
      </c>
      <c r="I161" s="46">
        <v>6.563244E-2</v>
      </c>
      <c r="J161" s="46">
        <v>0</v>
      </c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x14ac:dyDescent="0.25">
      <c r="A162" s="21" t="s">
        <v>357</v>
      </c>
      <c r="B162" s="46">
        <v>0</v>
      </c>
      <c r="C162" s="46">
        <v>0</v>
      </c>
      <c r="D162" s="46">
        <v>0</v>
      </c>
      <c r="E162" s="46">
        <v>4.1528464999999999</v>
      </c>
      <c r="F162" s="46">
        <v>0</v>
      </c>
      <c r="G162" s="46">
        <v>5.9129281300000001</v>
      </c>
      <c r="H162" s="46">
        <v>6.1322389999999997E-2</v>
      </c>
      <c r="I162" s="46">
        <v>0.38395207000000003</v>
      </c>
      <c r="J162" s="46">
        <v>0</v>
      </c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x14ac:dyDescent="0.25">
      <c r="A163" s="21" t="s">
        <v>212</v>
      </c>
      <c r="B163" s="46">
        <v>6.4769999999999991E-5</v>
      </c>
      <c r="C163" s="46">
        <v>5.8671000000000005E-4</v>
      </c>
      <c r="D163" s="46">
        <v>0</v>
      </c>
      <c r="E163" s="46">
        <v>3.3028488</v>
      </c>
      <c r="F163" s="46">
        <v>0</v>
      </c>
      <c r="G163" s="46">
        <v>2.2549278399999997</v>
      </c>
      <c r="H163" s="46">
        <v>5.892886E-2</v>
      </c>
      <c r="I163" s="46">
        <v>0.22070313</v>
      </c>
      <c r="J163" s="46">
        <v>7.4008000000000006E-4</v>
      </c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x14ac:dyDescent="0.25">
      <c r="A164" s="21" t="s">
        <v>85</v>
      </c>
      <c r="B164" s="46">
        <v>0</v>
      </c>
      <c r="C164" s="46">
        <v>0</v>
      </c>
      <c r="D164" s="46">
        <v>0</v>
      </c>
      <c r="E164" s="46">
        <v>29.46264978</v>
      </c>
      <c r="F164" s="46">
        <v>5.7630300000000002E-2</v>
      </c>
      <c r="G164" s="46">
        <v>2.2322999999999999E-2</v>
      </c>
      <c r="H164" s="46">
        <v>5.7487199999999995E-2</v>
      </c>
      <c r="I164" s="46">
        <v>74.103102950000007</v>
      </c>
      <c r="J164" s="46">
        <v>0</v>
      </c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x14ac:dyDescent="0.25">
      <c r="A165" s="21" t="s">
        <v>114</v>
      </c>
      <c r="B165" s="46">
        <v>0</v>
      </c>
      <c r="C165" s="46">
        <v>0</v>
      </c>
      <c r="D165" s="46">
        <v>0</v>
      </c>
      <c r="E165" s="46">
        <v>2.1478574100000003</v>
      </c>
      <c r="F165" s="46">
        <v>0</v>
      </c>
      <c r="G165" s="46">
        <v>1.21571626</v>
      </c>
      <c r="H165" s="46">
        <v>4.3443199999999994E-2</v>
      </c>
      <c r="I165" s="46">
        <v>0.19183620000000001</v>
      </c>
      <c r="J165" s="46">
        <v>0</v>
      </c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x14ac:dyDescent="0.25">
      <c r="A166" s="21" t="s">
        <v>107</v>
      </c>
      <c r="B166" s="46">
        <v>6.8250000000000006E-5</v>
      </c>
      <c r="C166" s="46">
        <v>6.8250000000000006E-5</v>
      </c>
      <c r="D166" s="46">
        <v>0</v>
      </c>
      <c r="E166" s="46">
        <v>0.75723353999999998</v>
      </c>
      <c r="F166" s="46">
        <v>0</v>
      </c>
      <c r="G166" s="46">
        <v>0.14215686999999999</v>
      </c>
      <c r="H166" s="46">
        <v>3.9102519999999995E-2</v>
      </c>
      <c r="I166" s="46">
        <v>4.1398860000000003E-2</v>
      </c>
      <c r="J166" s="46">
        <v>0</v>
      </c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x14ac:dyDescent="0.25">
      <c r="A167" s="21" t="s">
        <v>141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2.978134E-2</v>
      </c>
      <c r="H167" s="46">
        <v>3.7585830000000001E-2</v>
      </c>
      <c r="I167" s="46">
        <v>10.47614171</v>
      </c>
      <c r="J167" s="46">
        <v>0</v>
      </c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x14ac:dyDescent="0.25">
      <c r="A168" s="21" t="s">
        <v>48</v>
      </c>
      <c r="B168" s="46">
        <v>0</v>
      </c>
      <c r="C168" s="46">
        <v>22.076225010000002</v>
      </c>
      <c r="D168" s="46">
        <v>0</v>
      </c>
      <c r="E168" s="46">
        <v>9.1712315899999997</v>
      </c>
      <c r="F168" s="46">
        <v>0</v>
      </c>
      <c r="G168" s="46">
        <v>6.5047690000000005E-2</v>
      </c>
      <c r="H168" s="46">
        <v>3.6437629999999999E-2</v>
      </c>
      <c r="I168" s="46">
        <v>5.028999E-2</v>
      </c>
      <c r="J168" s="46">
        <v>22.076225010000002</v>
      </c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x14ac:dyDescent="0.25">
      <c r="A169" s="21" t="s">
        <v>354</v>
      </c>
      <c r="B169" s="46">
        <v>3.5482999999999999E-4</v>
      </c>
      <c r="C169" s="46">
        <v>3.5482999999999999E-4</v>
      </c>
      <c r="D169" s="46">
        <v>0</v>
      </c>
      <c r="E169" s="46">
        <v>0.68774584999999999</v>
      </c>
      <c r="F169" s="46">
        <v>0</v>
      </c>
      <c r="G169" s="46">
        <v>0</v>
      </c>
      <c r="H169" s="46">
        <v>3.6365879999999996E-2</v>
      </c>
      <c r="I169" s="46">
        <v>8.5638469999999994E-2</v>
      </c>
      <c r="J169" s="46">
        <v>0</v>
      </c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x14ac:dyDescent="0.25">
      <c r="A170" s="21" t="s">
        <v>126</v>
      </c>
      <c r="B170" s="46">
        <v>0</v>
      </c>
      <c r="C170" s="46">
        <v>0</v>
      </c>
      <c r="D170" s="46">
        <v>0</v>
      </c>
      <c r="E170" s="46">
        <v>6.7906245599999995</v>
      </c>
      <c r="F170" s="46">
        <v>0</v>
      </c>
      <c r="G170" s="46">
        <v>1.22602769</v>
      </c>
      <c r="H170" s="46">
        <v>3.1540490000000004E-2</v>
      </c>
      <c r="I170" s="46">
        <v>3.1540490000000004E-2</v>
      </c>
      <c r="J170" s="46">
        <v>0</v>
      </c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x14ac:dyDescent="0.25">
      <c r="A171" s="21" t="s">
        <v>60</v>
      </c>
      <c r="B171" s="46">
        <v>0</v>
      </c>
      <c r="C171" s="46">
        <v>0</v>
      </c>
      <c r="D171" s="46">
        <v>0</v>
      </c>
      <c r="E171" s="46">
        <v>0.15539354</v>
      </c>
      <c r="F171" s="46">
        <v>0</v>
      </c>
      <c r="G171" s="46">
        <v>7.5255799999999996E-3</v>
      </c>
      <c r="H171" s="46">
        <v>2.890419E-2</v>
      </c>
      <c r="I171" s="46">
        <v>2.890419E-2</v>
      </c>
      <c r="J171" s="46">
        <v>0</v>
      </c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x14ac:dyDescent="0.25">
      <c r="A172" s="21" t="s">
        <v>45</v>
      </c>
      <c r="B172" s="46">
        <v>0</v>
      </c>
      <c r="C172" s="46">
        <v>0</v>
      </c>
      <c r="D172" s="46">
        <v>0</v>
      </c>
      <c r="E172" s="46">
        <v>1.25945051</v>
      </c>
      <c r="F172" s="46">
        <v>0</v>
      </c>
      <c r="G172" s="46">
        <v>3.5405809999999996E-2</v>
      </c>
      <c r="H172" s="46">
        <v>2.8185000000000002E-2</v>
      </c>
      <c r="I172" s="46">
        <v>0.105394</v>
      </c>
      <c r="J172" s="46">
        <v>2.9217199999999996E-3</v>
      </c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x14ac:dyDescent="0.25">
      <c r="A173" s="21" t="s">
        <v>111</v>
      </c>
      <c r="B173" s="46">
        <v>0</v>
      </c>
      <c r="C173" s="46">
        <v>8.5658999999999996E-3</v>
      </c>
      <c r="D173" s="46">
        <v>0</v>
      </c>
      <c r="E173" s="46">
        <v>2.2328250999999999</v>
      </c>
      <c r="F173" s="46">
        <v>0</v>
      </c>
      <c r="G173" s="46">
        <v>0.22394198999999998</v>
      </c>
      <c r="H173" s="46">
        <v>2.6026259999999999E-2</v>
      </c>
      <c r="I173" s="46">
        <v>2.6492889999999998E-2</v>
      </c>
      <c r="J173" s="46">
        <v>0</v>
      </c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x14ac:dyDescent="0.25">
      <c r="A174" s="21" t="s">
        <v>91</v>
      </c>
      <c r="B174" s="46">
        <v>0</v>
      </c>
      <c r="C174" s="46">
        <v>0</v>
      </c>
      <c r="D174" s="46">
        <v>0</v>
      </c>
      <c r="E174" s="46">
        <v>0.62521780000000005</v>
      </c>
      <c r="F174" s="46">
        <v>0</v>
      </c>
      <c r="G174" s="46">
        <v>0.15645445000000002</v>
      </c>
      <c r="H174" s="46">
        <v>2.5762240000000002E-2</v>
      </c>
      <c r="I174" s="46">
        <v>4.92738E-2</v>
      </c>
      <c r="J174" s="46">
        <v>0</v>
      </c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x14ac:dyDescent="0.25">
      <c r="A175" s="21" t="s">
        <v>77</v>
      </c>
      <c r="B175" s="46">
        <v>0</v>
      </c>
      <c r="C175" s="46">
        <v>0</v>
      </c>
      <c r="D175" s="46">
        <v>0</v>
      </c>
      <c r="E175" s="46">
        <v>1.8832000000000002E-2</v>
      </c>
      <c r="F175" s="46">
        <v>0</v>
      </c>
      <c r="G175" s="46">
        <v>0</v>
      </c>
      <c r="H175" s="46">
        <v>2.538779E-2</v>
      </c>
      <c r="I175" s="46">
        <v>5.3970789999999998E-2</v>
      </c>
      <c r="J175" s="46">
        <v>0</v>
      </c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x14ac:dyDescent="0.25">
      <c r="A176" s="21" t="s">
        <v>67</v>
      </c>
      <c r="B176" s="46">
        <v>0</v>
      </c>
      <c r="C176" s="46">
        <v>0</v>
      </c>
      <c r="D176" s="46">
        <v>0</v>
      </c>
      <c r="E176" s="46">
        <v>5.6552497300000004</v>
      </c>
      <c r="F176" s="46">
        <v>0</v>
      </c>
      <c r="G176" s="46">
        <v>3.0223699999999999E-3</v>
      </c>
      <c r="H176" s="46">
        <v>2.4378279999999999E-2</v>
      </c>
      <c r="I176" s="46">
        <v>2.6991199999999997E-3</v>
      </c>
      <c r="J176" s="46">
        <v>0</v>
      </c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x14ac:dyDescent="0.25">
      <c r="A177" s="21" t="s">
        <v>154</v>
      </c>
      <c r="B177" s="46">
        <v>0</v>
      </c>
      <c r="C177" s="46">
        <v>0</v>
      </c>
      <c r="D177" s="46">
        <v>0</v>
      </c>
      <c r="E177" s="46">
        <v>7.6059020000000005E-2</v>
      </c>
      <c r="F177" s="46">
        <v>5.0949599999999999E-3</v>
      </c>
      <c r="G177" s="46">
        <v>0.19223503</v>
      </c>
      <c r="H177" s="46">
        <v>1.9277019999999999E-2</v>
      </c>
      <c r="I177" s="46">
        <v>0.22357223000000001</v>
      </c>
      <c r="J177" s="46">
        <v>0</v>
      </c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x14ac:dyDescent="0.25">
      <c r="A178" s="21" t="s">
        <v>35</v>
      </c>
      <c r="B178" s="46">
        <v>0</v>
      </c>
      <c r="C178" s="46">
        <v>0</v>
      </c>
      <c r="D178" s="46">
        <v>0</v>
      </c>
      <c r="E178" s="46">
        <v>0.150675</v>
      </c>
      <c r="F178" s="46">
        <v>0</v>
      </c>
      <c r="G178" s="46">
        <v>5.6386440000000003E-2</v>
      </c>
      <c r="H178" s="46">
        <v>1.7918E-2</v>
      </c>
      <c r="I178" s="46">
        <v>1.7918E-2</v>
      </c>
      <c r="J178" s="46">
        <v>0</v>
      </c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x14ac:dyDescent="0.25">
      <c r="A179" s="21" t="s">
        <v>375</v>
      </c>
      <c r="B179" s="46">
        <v>0</v>
      </c>
      <c r="C179" s="46">
        <v>0</v>
      </c>
      <c r="D179" s="46">
        <v>0</v>
      </c>
      <c r="E179" s="46">
        <v>5.8687391699999996</v>
      </c>
      <c r="F179" s="46">
        <v>0</v>
      </c>
      <c r="G179" s="46">
        <v>1.5342979999999999E-2</v>
      </c>
      <c r="H179" s="46">
        <v>1.713858E-2</v>
      </c>
      <c r="I179" s="46">
        <v>3.6322940000000005E-2</v>
      </c>
      <c r="J179" s="46">
        <v>0</v>
      </c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x14ac:dyDescent="0.25">
      <c r="A180" s="21" t="s">
        <v>152</v>
      </c>
      <c r="B180" s="46">
        <v>0</v>
      </c>
      <c r="C180" s="46">
        <v>0</v>
      </c>
      <c r="D180" s="46">
        <v>0</v>
      </c>
      <c r="E180" s="46">
        <v>8.8757039999999995E-2</v>
      </c>
      <c r="F180" s="46">
        <v>3.887935E-2</v>
      </c>
      <c r="G180" s="46">
        <v>8.3002749900000001</v>
      </c>
      <c r="H180" s="46">
        <v>1.7015919999999997E-2</v>
      </c>
      <c r="I180" s="46">
        <v>5.6025849999999995E-2</v>
      </c>
      <c r="J180" s="46">
        <v>9.6748400000000005E-3</v>
      </c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x14ac:dyDescent="0.25">
      <c r="A181" s="21" t="s">
        <v>356</v>
      </c>
      <c r="B181" s="46">
        <v>0</v>
      </c>
      <c r="C181" s="46">
        <v>0</v>
      </c>
      <c r="D181" s="46">
        <v>0</v>
      </c>
      <c r="E181" s="46">
        <v>0.89996769999999993</v>
      </c>
      <c r="F181" s="46">
        <v>0</v>
      </c>
      <c r="G181" s="46">
        <v>0.51517561000000001</v>
      </c>
      <c r="H181" s="46">
        <v>1.61174E-2</v>
      </c>
      <c r="I181" s="46">
        <v>0.44109278999999996</v>
      </c>
      <c r="J181" s="46">
        <v>0</v>
      </c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x14ac:dyDescent="0.25">
      <c r="A182" s="21" t="s">
        <v>64</v>
      </c>
      <c r="B182" s="46">
        <v>0</v>
      </c>
      <c r="C182" s="46">
        <v>0</v>
      </c>
      <c r="D182" s="46">
        <v>0</v>
      </c>
      <c r="E182" s="46">
        <v>9.4682354199999992</v>
      </c>
      <c r="F182" s="46">
        <v>0</v>
      </c>
      <c r="G182" s="46">
        <v>7.3185000000000004E-4</v>
      </c>
      <c r="H182" s="46">
        <v>1.105807E-2</v>
      </c>
      <c r="I182" s="46">
        <v>1.105807E-2</v>
      </c>
      <c r="J182" s="46">
        <v>0</v>
      </c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x14ac:dyDescent="0.25">
      <c r="A183" s="21" t="s">
        <v>371</v>
      </c>
      <c r="B183" s="46">
        <v>0</v>
      </c>
      <c r="C183" s="46">
        <v>0</v>
      </c>
      <c r="D183" s="46">
        <v>0</v>
      </c>
      <c r="E183" s="46">
        <v>8.2422750000000003E-2</v>
      </c>
      <c r="F183" s="46">
        <v>0</v>
      </c>
      <c r="G183" s="46">
        <v>2.3127E-4</v>
      </c>
      <c r="H183" s="46">
        <v>1.061465E-2</v>
      </c>
      <c r="I183" s="46">
        <v>1.061465E-2</v>
      </c>
      <c r="J183" s="46">
        <v>0</v>
      </c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x14ac:dyDescent="0.25">
      <c r="A184" s="21" t="s">
        <v>203</v>
      </c>
      <c r="B184" s="46">
        <v>0</v>
      </c>
      <c r="C184" s="46">
        <v>0</v>
      </c>
      <c r="D184" s="46">
        <v>0</v>
      </c>
      <c r="E184" s="46">
        <v>6.0263070000000002E-2</v>
      </c>
      <c r="F184" s="46">
        <v>0</v>
      </c>
      <c r="G184" s="46">
        <v>0.22418809000000001</v>
      </c>
      <c r="H184" s="46">
        <v>8.7559400000000003E-3</v>
      </c>
      <c r="I184" s="46">
        <v>0.27835214000000003</v>
      </c>
      <c r="J184" s="46">
        <v>0</v>
      </c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x14ac:dyDescent="0.25">
      <c r="A185" s="21" t="s">
        <v>69</v>
      </c>
      <c r="B185" s="46">
        <v>0</v>
      </c>
      <c r="C185" s="46">
        <v>0</v>
      </c>
      <c r="D185" s="46">
        <v>1.65375E-2</v>
      </c>
      <c r="E185" s="46">
        <v>0.70811701000000005</v>
      </c>
      <c r="F185" s="46">
        <v>0</v>
      </c>
      <c r="G185" s="46">
        <v>0.10578750000000001</v>
      </c>
      <c r="H185" s="46">
        <v>7.6204799999999998E-3</v>
      </c>
      <c r="I185" s="46">
        <v>9.0048799999999998E-3</v>
      </c>
      <c r="J185" s="46">
        <v>0</v>
      </c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x14ac:dyDescent="0.25">
      <c r="A186" s="21" t="s">
        <v>109</v>
      </c>
      <c r="B186" s="46">
        <v>0</v>
      </c>
      <c r="C186" s="46">
        <v>1.58472E-3</v>
      </c>
      <c r="D186" s="46">
        <v>0</v>
      </c>
      <c r="E186" s="46">
        <v>2.1431476699999998</v>
      </c>
      <c r="F186" s="46">
        <v>0</v>
      </c>
      <c r="G186" s="46">
        <v>2.32308475</v>
      </c>
      <c r="H186" s="46">
        <v>3.3450900000000002E-3</v>
      </c>
      <c r="I186" s="46">
        <v>2.3525069999999999E-2</v>
      </c>
      <c r="J186" s="46">
        <v>1.58472E-3</v>
      </c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x14ac:dyDescent="0.25">
      <c r="A187" s="21" t="s">
        <v>70</v>
      </c>
      <c r="B187" s="46">
        <v>0</v>
      </c>
      <c r="C187" s="46">
        <v>9.1812000000000005E-2</v>
      </c>
      <c r="D187" s="46">
        <v>0</v>
      </c>
      <c r="E187" s="46">
        <v>0.26286265999999997</v>
      </c>
      <c r="F187" s="46">
        <v>0</v>
      </c>
      <c r="G187" s="46">
        <v>0.48711944000000001</v>
      </c>
      <c r="H187" s="46">
        <v>2.7537199999999999E-3</v>
      </c>
      <c r="I187" s="46">
        <v>2.2450950000000001E-2</v>
      </c>
      <c r="J187" s="46">
        <v>0</v>
      </c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x14ac:dyDescent="0.25">
      <c r="A188" s="21" t="s">
        <v>108</v>
      </c>
      <c r="B188" s="46">
        <v>0</v>
      </c>
      <c r="C188" s="46">
        <v>4.2466199999999996E-3</v>
      </c>
      <c r="D188" s="46">
        <v>0</v>
      </c>
      <c r="E188" s="46">
        <v>0.16161900000000001</v>
      </c>
      <c r="F188" s="46">
        <v>0</v>
      </c>
      <c r="G188" s="46">
        <v>1.0370362900000001</v>
      </c>
      <c r="H188" s="46">
        <v>2.0316100000000001E-3</v>
      </c>
      <c r="I188" s="46">
        <v>8.2297000000000013E-3</v>
      </c>
      <c r="J188" s="46">
        <v>4.2466199999999996E-3</v>
      </c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x14ac:dyDescent="0.25">
      <c r="A189" s="21" t="s">
        <v>148</v>
      </c>
      <c r="B189" s="46">
        <v>0</v>
      </c>
      <c r="C189" s="46">
        <v>0</v>
      </c>
      <c r="D189" s="46">
        <v>0</v>
      </c>
      <c r="E189" s="46">
        <v>0.18058164999999998</v>
      </c>
      <c r="F189" s="46">
        <v>0</v>
      </c>
      <c r="G189" s="46">
        <v>1.08506518</v>
      </c>
      <c r="H189" s="46">
        <v>4.2793999999999997E-4</v>
      </c>
      <c r="I189" s="46">
        <v>3.7291399999999997E-3</v>
      </c>
      <c r="J189" s="46">
        <v>0</v>
      </c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x14ac:dyDescent="0.25">
      <c r="A190" s="21" t="s">
        <v>41</v>
      </c>
      <c r="B190" s="46">
        <v>0</v>
      </c>
      <c r="C190" s="46">
        <v>0</v>
      </c>
      <c r="D190" s="46">
        <v>0</v>
      </c>
      <c r="E190" s="46">
        <v>0.16778911999999999</v>
      </c>
      <c r="F190" s="46">
        <v>0</v>
      </c>
      <c r="G190" s="46">
        <v>6.4740999999999996E-4</v>
      </c>
      <c r="H190" s="46">
        <v>3.8601999999999999E-4</v>
      </c>
      <c r="I190" s="46">
        <v>3.8601999999999999E-4</v>
      </c>
      <c r="J190" s="46">
        <v>0</v>
      </c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x14ac:dyDescent="0.25">
      <c r="A191" s="21" t="s">
        <v>18</v>
      </c>
      <c r="B191" s="46">
        <v>0</v>
      </c>
      <c r="C191" s="46">
        <v>2.3E-3</v>
      </c>
      <c r="D191" s="46">
        <v>0</v>
      </c>
      <c r="E191" s="46">
        <v>39.0599232799999</v>
      </c>
      <c r="F191" s="46">
        <v>0</v>
      </c>
      <c r="G191" s="46">
        <v>7.4451000000000005E-3</v>
      </c>
      <c r="H191" s="46">
        <v>2.677E-4</v>
      </c>
      <c r="I191" s="46">
        <v>2.4293389999999998E-2</v>
      </c>
      <c r="J191" s="46">
        <v>0.62063774999999999</v>
      </c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x14ac:dyDescent="0.25">
      <c r="A192" s="21" t="s">
        <v>52</v>
      </c>
      <c r="B192" s="46">
        <v>0</v>
      </c>
      <c r="C192" s="46">
        <v>799.58597953999993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799.58597953999993</v>
      </c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x14ac:dyDescent="0.25">
      <c r="A193" s="21" t="s">
        <v>54</v>
      </c>
      <c r="B193" s="46">
        <v>0</v>
      </c>
      <c r="C193" s="46">
        <v>217.07147369</v>
      </c>
      <c r="D193" s="46">
        <v>0</v>
      </c>
      <c r="E193" s="46">
        <v>0</v>
      </c>
      <c r="F193" s="46">
        <v>0</v>
      </c>
      <c r="G193" s="46">
        <v>4.2630000000000001E-4</v>
      </c>
      <c r="H193" s="46">
        <v>0</v>
      </c>
      <c r="I193" s="46">
        <v>0</v>
      </c>
      <c r="J193" s="46">
        <v>217.07147369</v>
      </c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x14ac:dyDescent="0.25">
      <c r="A194" s="21" t="s">
        <v>669</v>
      </c>
      <c r="B194" s="46">
        <v>0</v>
      </c>
      <c r="C194" s="46">
        <v>1.01741134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1.01741134</v>
      </c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x14ac:dyDescent="0.25">
      <c r="A195" s="21" t="s">
        <v>370</v>
      </c>
      <c r="B195" s="46">
        <v>0</v>
      </c>
      <c r="C195" s="46">
        <v>0.62116274999999999</v>
      </c>
      <c r="D195" s="46">
        <v>0</v>
      </c>
      <c r="E195" s="46">
        <v>1.1368856599999999</v>
      </c>
      <c r="F195" s="46">
        <v>0</v>
      </c>
      <c r="G195" s="46">
        <v>0</v>
      </c>
      <c r="H195" s="46">
        <v>0</v>
      </c>
      <c r="I195" s="46">
        <v>8.6729999999999999E-4</v>
      </c>
      <c r="J195" s="46">
        <v>0.62116274999999999</v>
      </c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x14ac:dyDescent="0.25">
      <c r="A196" s="21" t="s">
        <v>12</v>
      </c>
      <c r="B196" s="46">
        <v>0</v>
      </c>
      <c r="C196" s="46">
        <v>0.35328978000000005</v>
      </c>
      <c r="D196" s="46">
        <v>0</v>
      </c>
      <c r="E196" s="46">
        <v>96.512816170000008</v>
      </c>
      <c r="F196" s="46">
        <v>0</v>
      </c>
      <c r="G196" s="46">
        <v>0</v>
      </c>
      <c r="H196" s="46">
        <v>0</v>
      </c>
      <c r="I196" s="46">
        <v>0</v>
      </c>
      <c r="J196" s="46">
        <v>0.35669951999999999</v>
      </c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x14ac:dyDescent="0.25">
      <c r="A197" s="21" t="s">
        <v>38</v>
      </c>
      <c r="B197" s="46">
        <v>0</v>
      </c>
      <c r="C197" s="46">
        <v>0.33106600000000003</v>
      </c>
      <c r="D197" s="46">
        <v>0</v>
      </c>
      <c r="E197" s="46">
        <v>15.88350144</v>
      </c>
      <c r="F197" s="46">
        <v>0</v>
      </c>
      <c r="G197" s="46">
        <v>0</v>
      </c>
      <c r="H197" s="46">
        <v>0</v>
      </c>
      <c r="I197" s="46">
        <v>0</v>
      </c>
      <c r="J197" s="46">
        <v>2.66161E-3</v>
      </c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x14ac:dyDescent="0.25">
      <c r="A198" s="21" t="s">
        <v>383</v>
      </c>
      <c r="B198" s="46">
        <v>0</v>
      </c>
      <c r="C198" s="46">
        <v>0.17022200000000001</v>
      </c>
      <c r="D198" s="46">
        <v>1.16445E-3</v>
      </c>
      <c r="E198" s="46">
        <v>1.8206712300000001</v>
      </c>
      <c r="F198" s="46">
        <v>0</v>
      </c>
      <c r="G198" s="46">
        <v>1.16445E-3</v>
      </c>
      <c r="H198" s="46">
        <v>0</v>
      </c>
      <c r="I198" s="46">
        <v>0</v>
      </c>
      <c r="J198" s="46">
        <v>0.17022200000000001</v>
      </c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x14ac:dyDescent="0.25">
      <c r="A199" s="21" t="s">
        <v>110</v>
      </c>
      <c r="B199" s="46">
        <v>0</v>
      </c>
      <c r="C199" s="46">
        <v>4.9948000000000006E-4</v>
      </c>
      <c r="D199" s="46">
        <v>0</v>
      </c>
      <c r="E199" s="46">
        <v>1.65148384</v>
      </c>
      <c r="F199" s="46">
        <v>0</v>
      </c>
      <c r="G199" s="46">
        <v>0.73021730000000007</v>
      </c>
      <c r="H199" s="46">
        <v>0</v>
      </c>
      <c r="I199" s="46">
        <v>0</v>
      </c>
      <c r="J199" s="46">
        <v>0</v>
      </c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x14ac:dyDescent="0.25">
      <c r="A200" s="21" t="s">
        <v>377</v>
      </c>
      <c r="B200" s="46">
        <v>2.0055000000000002E-4</v>
      </c>
      <c r="C200" s="46">
        <v>2.0055000000000002E-4</v>
      </c>
      <c r="D200" s="46">
        <v>0</v>
      </c>
      <c r="E200" s="46">
        <v>8.5453656999999996</v>
      </c>
      <c r="F200" s="46">
        <v>0</v>
      </c>
      <c r="G200" s="46">
        <v>2.692429E-2</v>
      </c>
      <c r="H200" s="46">
        <v>0</v>
      </c>
      <c r="I200" s="46">
        <v>0</v>
      </c>
      <c r="J200" s="46">
        <v>0</v>
      </c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x14ac:dyDescent="0.25">
      <c r="A201" s="21" t="s">
        <v>63</v>
      </c>
      <c r="B201" s="46">
        <v>0</v>
      </c>
      <c r="C201" s="46">
        <v>0</v>
      </c>
      <c r="D201" s="46">
        <v>0</v>
      </c>
      <c r="E201" s="46">
        <v>7.7505235199999998</v>
      </c>
      <c r="F201" s="46">
        <v>0</v>
      </c>
      <c r="G201" s="46">
        <v>5.6461800000000006E-3</v>
      </c>
      <c r="H201" s="46">
        <v>0</v>
      </c>
      <c r="I201" s="46">
        <v>70.753156269999991</v>
      </c>
      <c r="J201" s="46">
        <v>0</v>
      </c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x14ac:dyDescent="0.25">
      <c r="A202" s="21" t="s">
        <v>381</v>
      </c>
      <c r="B202" s="46">
        <v>0</v>
      </c>
      <c r="C202" s="46">
        <v>0</v>
      </c>
      <c r="D202" s="46">
        <v>0</v>
      </c>
      <c r="E202" s="46">
        <v>9.9218676300000013</v>
      </c>
      <c r="F202" s="46">
        <v>0</v>
      </c>
      <c r="G202" s="46">
        <v>4.7853554900000006</v>
      </c>
      <c r="H202" s="46">
        <v>0</v>
      </c>
      <c r="I202" s="46">
        <v>22.36013058</v>
      </c>
      <c r="J202" s="46">
        <v>0</v>
      </c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x14ac:dyDescent="0.25">
      <c r="A203" s="21" t="s">
        <v>348</v>
      </c>
      <c r="B203" s="46">
        <v>0</v>
      </c>
      <c r="C203" s="46">
        <v>0</v>
      </c>
      <c r="D203" s="46">
        <v>0</v>
      </c>
      <c r="E203" s="46">
        <v>0.30685637999999998</v>
      </c>
      <c r="F203" s="46">
        <v>0</v>
      </c>
      <c r="G203" s="46">
        <v>0</v>
      </c>
      <c r="H203" s="46">
        <v>0</v>
      </c>
      <c r="I203" s="46">
        <v>1.41597602</v>
      </c>
      <c r="J203" s="46">
        <v>0</v>
      </c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x14ac:dyDescent="0.25">
      <c r="A204" s="21" t="s">
        <v>149</v>
      </c>
      <c r="B204" s="46">
        <v>0</v>
      </c>
      <c r="C204" s="46">
        <v>0</v>
      </c>
      <c r="D204" s="46">
        <v>0</v>
      </c>
      <c r="E204" s="46">
        <v>0.75833539000000005</v>
      </c>
      <c r="F204" s="46">
        <v>0</v>
      </c>
      <c r="G204" s="46">
        <v>15.355893009999999</v>
      </c>
      <c r="H204" s="46">
        <v>0</v>
      </c>
      <c r="I204" s="46">
        <v>1.21363606</v>
      </c>
      <c r="J204" s="46">
        <v>1.0766500000000002E-3</v>
      </c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x14ac:dyDescent="0.25">
      <c r="A205" s="21" t="s">
        <v>0</v>
      </c>
      <c r="B205" s="46">
        <v>0</v>
      </c>
      <c r="C205" s="46">
        <v>0</v>
      </c>
      <c r="D205" s="46">
        <v>0</v>
      </c>
      <c r="E205" s="46">
        <v>1.0252240500000001</v>
      </c>
      <c r="F205" s="46">
        <v>0</v>
      </c>
      <c r="G205" s="46">
        <v>0</v>
      </c>
      <c r="H205" s="46">
        <v>0</v>
      </c>
      <c r="I205" s="46">
        <v>4.2104559999999999E-2</v>
      </c>
      <c r="J205" s="46">
        <v>0</v>
      </c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x14ac:dyDescent="0.25">
      <c r="A206" s="21" t="s">
        <v>170</v>
      </c>
      <c r="B206" s="46">
        <v>0</v>
      </c>
      <c r="C206" s="46">
        <v>0</v>
      </c>
      <c r="D206" s="46">
        <v>0</v>
      </c>
      <c r="E206" s="46">
        <v>0.16470551999999999</v>
      </c>
      <c r="F206" s="46">
        <v>0</v>
      </c>
      <c r="G206" s="46">
        <v>0.57093981000000005</v>
      </c>
      <c r="H206" s="46">
        <v>0</v>
      </c>
      <c r="I206" s="46">
        <v>3.5453180000000001E-2</v>
      </c>
      <c r="J206" s="46">
        <v>0</v>
      </c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x14ac:dyDescent="0.25">
      <c r="A207" s="21" t="s">
        <v>122</v>
      </c>
      <c r="B207" s="46">
        <v>0</v>
      </c>
      <c r="C207" s="46">
        <v>0</v>
      </c>
      <c r="D207" s="46">
        <v>0</v>
      </c>
      <c r="E207" s="46">
        <v>1.5378950200000001</v>
      </c>
      <c r="F207" s="46">
        <v>0</v>
      </c>
      <c r="G207" s="46">
        <v>1.7222599999999998E-2</v>
      </c>
      <c r="H207" s="46">
        <v>0</v>
      </c>
      <c r="I207" s="46">
        <v>9.5177900000000017E-3</v>
      </c>
      <c r="J207" s="46">
        <v>0</v>
      </c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x14ac:dyDescent="0.25">
      <c r="A208" s="21" t="s">
        <v>372</v>
      </c>
      <c r="B208" s="46">
        <v>0</v>
      </c>
      <c r="C208" s="46">
        <v>0</v>
      </c>
      <c r="D208" s="46">
        <v>0</v>
      </c>
      <c r="E208" s="46">
        <v>0.46334946000000005</v>
      </c>
      <c r="F208" s="46">
        <v>0</v>
      </c>
      <c r="G208" s="46">
        <v>0.32875166</v>
      </c>
      <c r="H208" s="46">
        <v>0</v>
      </c>
      <c r="I208" s="46">
        <v>7.7142700000000005E-3</v>
      </c>
      <c r="J208" s="46">
        <v>0</v>
      </c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x14ac:dyDescent="0.25">
      <c r="A209" s="21" t="s">
        <v>128</v>
      </c>
      <c r="B209" s="46">
        <v>0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1.4263800000000001E-3</v>
      </c>
      <c r="J209" s="46">
        <v>0</v>
      </c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x14ac:dyDescent="0.25">
      <c r="A210" s="21" t="s">
        <v>43</v>
      </c>
      <c r="B210" s="46">
        <v>0</v>
      </c>
      <c r="C210" s="46">
        <v>0</v>
      </c>
      <c r="D210" s="46">
        <v>0</v>
      </c>
      <c r="E210" s="46">
        <v>0.63400798000000003</v>
      </c>
      <c r="F210" s="46">
        <v>0</v>
      </c>
      <c r="G210" s="46">
        <v>0.17578201000000002</v>
      </c>
      <c r="H210" s="46">
        <v>0</v>
      </c>
      <c r="I210" s="46">
        <v>6.6376999999999994E-4</v>
      </c>
      <c r="J210" s="46">
        <v>5.7800000000000004E-3</v>
      </c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x14ac:dyDescent="0.25">
      <c r="A211" s="21" t="s">
        <v>139</v>
      </c>
      <c r="B211" s="46">
        <v>0</v>
      </c>
      <c r="C211" s="46">
        <v>0</v>
      </c>
      <c r="D211" s="46">
        <v>0</v>
      </c>
      <c r="E211" s="46">
        <v>0.135522</v>
      </c>
      <c r="F211" s="46">
        <v>0</v>
      </c>
      <c r="G211" s="46">
        <v>337.77557668000003</v>
      </c>
      <c r="H211" s="46">
        <v>0</v>
      </c>
      <c r="I211" s="46">
        <v>0</v>
      </c>
      <c r="J211" s="46">
        <v>0</v>
      </c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x14ac:dyDescent="0.25">
      <c r="A212" s="21" t="s">
        <v>124</v>
      </c>
      <c r="B212" s="46">
        <v>0</v>
      </c>
      <c r="C212" s="46">
        <v>0</v>
      </c>
      <c r="D212" s="46">
        <v>0</v>
      </c>
      <c r="E212" s="46">
        <v>16.281272789999999</v>
      </c>
      <c r="F212" s="46">
        <v>0</v>
      </c>
      <c r="G212" s="46">
        <v>33.448043599999998</v>
      </c>
      <c r="H212" s="46">
        <v>0</v>
      </c>
      <c r="I212" s="46">
        <v>0</v>
      </c>
      <c r="J212" s="46">
        <v>0</v>
      </c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x14ac:dyDescent="0.25">
      <c r="A213" s="21" t="s">
        <v>153</v>
      </c>
      <c r="B213" s="46">
        <v>0</v>
      </c>
      <c r="C213" s="46">
        <v>0</v>
      </c>
      <c r="D213" s="46">
        <v>0</v>
      </c>
      <c r="E213" s="46">
        <v>0.72965734999999998</v>
      </c>
      <c r="F213" s="46">
        <v>0</v>
      </c>
      <c r="G213" s="46">
        <v>0.98095325</v>
      </c>
      <c r="H213" s="46">
        <v>0</v>
      </c>
      <c r="I213" s="46">
        <v>0</v>
      </c>
      <c r="J213" s="46">
        <v>0</v>
      </c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x14ac:dyDescent="0.25">
      <c r="A214" s="21" t="s">
        <v>14</v>
      </c>
      <c r="B214" s="46">
        <v>0</v>
      </c>
      <c r="C214" s="46">
        <v>0</v>
      </c>
      <c r="D214" s="46">
        <v>0</v>
      </c>
      <c r="E214" s="46">
        <v>0.66652447999999997</v>
      </c>
      <c r="F214" s="46">
        <v>0</v>
      </c>
      <c r="G214" s="46">
        <v>0.24698648000000001</v>
      </c>
      <c r="H214" s="46">
        <v>0</v>
      </c>
      <c r="I214" s="46">
        <v>0</v>
      </c>
      <c r="J214" s="46">
        <v>0</v>
      </c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x14ac:dyDescent="0.25">
      <c r="A215" s="21" t="s">
        <v>36</v>
      </c>
      <c r="B215" s="46">
        <v>0</v>
      </c>
      <c r="C215" s="46">
        <v>0</v>
      </c>
      <c r="D215" s="46">
        <v>0</v>
      </c>
      <c r="E215" s="46">
        <v>2.1371722100000001</v>
      </c>
      <c r="F215" s="46">
        <v>0</v>
      </c>
      <c r="G215" s="46">
        <v>0.10114719999999999</v>
      </c>
      <c r="H215" s="46">
        <v>0</v>
      </c>
      <c r="I215" s="46">
        <v>0</v>
      </c>
      <c r="J215" s="46">
        <v>0</v>
      </c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x14ac:dyDescent="0.25">
      <c r="A216" s="21" t="s">
        <v>47</v>
      </c>
      <c r="B216" s="46">
        <v>0</v>
      </c>
      <c r="C216" s="46">
        <v>0</v>
      </c>
      <c r="D216" s="46">
        <v>0</v>
      </c>
      <c r="E216" s="46">
        <v>9.8816310000000004E-2</v>
      </c>
      <c r="F216" s="46">
        <v>0</v>
      </c>
      <c r="G216" s="46">
        <v>1.5447629999999999E-2</v>
      </c>
      <c r="H216" s="46">
        <v>0</v>
      </c>
      <c r="I216" s="46">
        <v>0</v>
      </c>
      <c r="J216" s="46">
        <v>0</v>
      </c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x14ac:dyDescent="0.25">
      <c r="A217" s="21" t="s">
        <v>365</v>
      </c>
      <c r="B217" s="46">
        <v>0</v>
      </c>
      <c r="C217" s="46">
        <v>0</v>
      </c>
      <c r="D217" s="46">
        <v>0</v>
      </c>
      <c r="E217" s="46">
        <v>0.60813899999999999</v>
      </c>
      <c r="F217" s="46">
        <v>0</v>
      </c>
      <c r="G217" s="46">
        <v>1.2035870000000001E-2</v>
      </c>
      <c r="H217" s="46">
        <v>0</v>
      </c>
      <c r="I217" s="46">
        <v>0</v>
      </c>
      <c r="J217" s="46">
        <v>0</v>
      </c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x14ac:dyDescent="0.25">
      <c r="A218" s="21" t="s">
        <v>55</v>
      </c>
      <c r="B218" s="46">
        <v>0</v>
      </c>
      <c r="C218" s="46">
        <v>0</v>
      </c>
      <c r="D218" s="46">
        <v>0</v>
      </c>
      <c r="E218" s="46">
        <v>0.18629699999999999</v>
      </c>
      <c r="F218" s="46">
        <v>0</v>
      </c>
      <c r="G218" s="46">
        <v>9.1714899999999992E-3</v>
      </c>
      <c r="H218" s="46">
        <v>0</v>
      </c>
      <c r="I218" s="46">
        <v>0</v>
      </c>
      <c r="J218" s="46">
        <v>0</v>
      </c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x14ac:dyDescent="0.25">
      <c r="A219" s="21" t="s">
        <v>211</v>
      </c>
      <c r="B219" s="46">
        <v>0</v>
      </c>
      <c r="C219" s="46">
        <v>0</v>
      </c>
      <c r="D219" s="46">
        <v>0</v>
      </c>
      <c r="E219" s="46">
        <v>0.82427673999999995</v>
      </c>
      <c r="F219" s="46">
        <v>0</v>
      </c>
      <c r="G219" s="46">
        <v>8.8954199999999994E-3</v>
      </c>
      <c r="H219" s="46">
        <v>0</v>
      </c>
      <c r="I219" s="46">
        <v>0</v>
      </c>
      <c r="J219" s="46">
        <v>0</v>
      </c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x14ac:dyDescent="0.25">
      <c r="A220" s="21" t="s">
        <v>33</v>
      </c>
      <c r="B220" s="46">
        <v>0</v>
      </c>
      <c r="C220" s="46">
        <v>0</v>
      </c>
      <c r="D220" s="46">
        <v>0</v>
      </c>
      <c r="E220" s="46">
        <v>0.22682576999999998</v>
      </c>
      <c r="F220" s="46">
        <v>0</v>
      </c>
      <c r="G220" s="46">
        <v>4.8257399999999994E-3</v>
      </c>
      <c r="H220" s="46">
        <v>0</v>
      </c>
      <c r="I220" s="46">
        <v>0</v>
      </c>
      <c r="J220" s="46">
        <v>0</v>
      </c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x14ac:dyDescent="0.25">
      <c r="A221" s="21" t="s">
        <v>1</v>
      </c>
      <c r="B221" s="46">
        <v>0</v>
      </c>
      <c r="C221" s="46">
        <v>0</v>
      </c>
      <c r="D221" s="46">
        <v>0</v>
      </c>
      <c r="E221" s="46">
        <v>0.31516304000000001</v>
      </c>
      <c r="F221" s="46">
        <v>0</v>
      </c>
      <c r="G221" s="46">
        <v>4.8013400000000003E-3</v>
      </c>
      <c r="H221" s="46">
        <v>0</v>
      </c>
      <c r="I221" s="46">
        <v>0</v>
      </c>
      <c r="J221" s="46">
        <v>0</v>
      </c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x14ac:dyDescent="0.25">
      <c r="A222" s="21" t="s">
        <v>97</v>
      </c>
      <c r="B222" s="46">
        <v>0</v>
      </c>
      <c r="C222" s="46">
        <v>0</v>
      </c>
      <c r="D222" s="46">
        <v>0</v>
      </c>
      <c r="E222" s="46">
        <v>0.20176585999999999</v>
      </c>
      <c r="F222" s="46">
        <v>0</v>
      </c>
      <c r="G222" s="46">
        <v>4.42341E-3</v>
      </c>
      <c r="H222" s="46">
        <v>0</v>
      </c>
      <c r="I222" s="46">
        <v>0</v>
      </c>
      <c r="J222" s="46">
        <v>0</v>
      </c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x14ac:dyDescent="0.25">
      <c r="A223" s="21" t="s">
        <v>59</v>
      </c>
      <c r="B223" s="46">
        <v>0</v>
      </c>
      <c r="C223" s="46">
        <v>0</v>
      </c>
      <c r="D223" s="46">
        <v>0</v>
      </c>
      <c r="E223" s="46">
        <v>8.5267785399999987</v>
      </c>
      <c r="F223" s="46">
        <v>0</v>
      </c>
      <c r="G223" s="46">
        <v>2.7499999999999998E-3</v>
      </c>
      <c r="H223" s="46">
        <v>0</v>
      </c>
      <c r="I223" s="46">
        <v>0</v>
      </c>
      <c r="J223" s="46">
        <v>0</v>
      </c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x14ac:dyDescent="0.25">
      <c r="A224" s="21" t="s">
        <v>369</v>
      </c>
      <c r="B224" s="46">
        <v>0</v>
      </c>
      <c r="C224" s="46">
        <v>0</v>
      </c>
      <c r="D224" s="46">
        <v>0</v>
      </c>
      <c r="E224" s="46">
        <v>2.7171286600000002</v>
      </c>
      <c r="F224" s="46">
        <v>0</v>
      </c>
      <c r="G224" s="46">
        <v>2.0907299999999998E-3</v>
      </c>
      <c r="H224" s="46">
        <v>0</v>
      </c>
      <c r="I224" s="46">
        <v>0</v>
      </c>
      <c r="J224" s="46">
        <v>0</v>
      </c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x14ac:dyDescent="0.25">
      <c r="A225" s="21" t="s">
        <v>353</v>
      </c>
      <c r="B225" s="46">
        <v>0</v>
      </c>
      <c r="C225" s="46">
        <v>0</v>
      </c>
      <c r="D225" s="46">
        <v>0</v>
      </c>
      <c r="E225" s="46">
        <v>5.0421601300000001</v>
      </c>
      <c r="F225" s="46">
        <v>0</v>
      </c>
      <c r="G225" s="46">
        <v>9.3813999999999996E-4</v>
      </c>
      <c r="H225" s="46">
        <v>0</v>
      </c>
      <c r="I225" s="46">
        <v>0</v>
      </c>
      <c r="J225" s="46">
        <v>0</v>
      </c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x14ac:dyDescent="0.25">
      <c r="A226" s="21" t="s">
        <v>34</v>
      </c>
      <c r="B226" s="46">
        <v>0</v>
      </c>
      <c r="C226" s="46">
        <v>0</v>
      </c>
      <c r="D226" s="46">
        <v>0</v>
      </c>
      <c r="E226" s="46">
        <v>3.0782600000000002E-3</v>
      </c>
      <c r="F226" s="46">
        <v>0</v>
      </c>
      <c r="G226" s="46">
        <v>5.9566999999999997E-4</v>
      </c>
      <c r="H226" s="46">
        <v>0</v>
      </c>
      <c r="I226" s="46">
        <v>0</v>
      </c>
      <c r="J226" s="46">
        <v>0</v>
      </c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x14ac:dyDescent="0.25">
      <c r="A227" s="21" t="s">
        <v>37</v>
      </c>
      <c r="B227" s="46">
        <v>0</v>
      </c>
      <c r="C227" s="46">
        <v>0</v>
      </c>
      <c r="D227" s="46">
        <v>0</v>
      </c>
      <c r="E227" s="46">
        <v>0.13998427999999999</v>
      </c>
      <c r="F227" s="46">
        <v>0</v>
      </c>
      <c r="G227" s="46">
        <v>5.6019000000000002E-4</v>
      </c>
      <c r="H227" s="46">
        <v>0</v>
      </c>
      <c r="I227" s="46">
        <v>0</v>
      </c>
      <c r="J227" s="46">
        <v>0</v>
      </c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x14ac:dyDescent="0.25">
      <c r="A228" s="21" t="s">
        <v>393</v>
      </c>
      <c r="B228" s="46">
        <v>0</v>
      </c>
      <c r="C228" s="46">
        <v>0</v>
      </c>
      <c r="D228" s="46">
        <v>0</v>
      </c>
      <c r="E228" s="46">
        <v>0</v>
      </c>
      <c r="F228" s="46">
        <v>0</v>
      </c>
      <c r="G228" s="46">
        <v>3.6539999999999999E-4</v>
      </c>
      <c r="H228" s="46">
        <v>0</v>
      </c>
      <c r="I228" s="46">
        <v>0</v>
      </c>
      <c r="J228" s="46">
        <v>0</v>
      </c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x14ac:dyDescent="0.25">
      <c r="A229" s="21" t="s">
        <v>351</v>
      </c>
      <c r="B229" s="46">
        <v>0</v>
      </c>
      <c r="C229" s="46">
        <v>0</v>
      </c>
      <c r="D229" s="46">
        <v>0</v>
      </c>
      <c r="E229" s="46">
        <v>6.8777660199999993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x14ac:dyDescent="0.25">
      <c r="A230" s="21" t="s">
        <v>6</v>
      </c>
      <c r="B230" s="46">
        <v>0</v>
      </c>
      <c r="C230" s="46">
        <v>0</v>
      </c>
      <c r="D230" s="46">
        <v>0</v>
      </c>
      <c r="E230" s="46">
        <v>4.5810902800000006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x14ac:dyDescent="0.25">
      <c r="A231" s="21" t="s">
        <v>53</v>
      </c>
      <c r="B231" s="46">
        <v>0</v>
      </c>
      <c r="C231" s="46">
        <v>0</v>
      </c>
      <c r="D231" s="46">
        <v>0</v>
      </c>
      <c r="E231" s="46">
        <v>2.1647500000000002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x14ac:dyDescent="0.25">
      <c r="A232" s="21" t="s">
        <v>44</v>
      </c>
      <c r="B232" s="46">
        <v>0</v>
      </c>
      <c r="C232" s="46">
        <v>0</v>
      </c>
      <c r="D232" s="46">
        <v>0</v>
      </c>
      <c r="E232" s="46">
        <v>0.34485167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x14ac:dyDescent="0.25">
      <c r="A233" s="21" t="s">
        <v>347</v>
      </c>
      <c r="B233" s="46">
        <v>0</v>
      </c>
      <c r="C233" s="46">
        <v>0</v>
      </c>
      <c r="D233" s="46">
        <v>0</v>
      </c>
      <c r="E233" s="46">
        <v>0.30913739000000001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x14ac:dyDescent="0.25">
      <c r="A234" s="21" t="s">
        <v>121</v>
      </c>
      <c r="B234" s="46">
        <v>0</v>
      </c>
      <c r="C234" s="46">
        <v>0</v>
      </c>
      <c r="D234" s="46">
        <v>0</v>
      </c>
      <c r="E234" s="46">
        <v>0.27142901000000003</v>
      </c>
      <c r="F234" s="46">
        <v>0</v>
      </c>
      <c r="G234" s="46">
        <v>0</v>
      </c>
      <c r="H234" s="46">
        <v>0</v>
      </c>
      <c r="I234" s="46">
        <v>0</v>
      </c>
      <c r="J234" s="46">
        <v>2.1900333700000001</v>
      </c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x14ac:dyDescent="0.25">
      <c r="A235" s="21" t="s">
        <v>49</v>
      </c>
      <c r="B235" s="46">
        <v>0</v>
      </c>
      <c r="C235" s="46">
        <v>0</v>
      </c>
      <c r="D235" s="46">
        <v>0</v>
      </c>
      <c r="E235" s="46">
        <v>0.18598000000000001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x14ac:dyDescent="0.25">
      <c r="A236" s="21" t="s">
        <v>56</v>
      </c>
      <c r="B236" s="46">
        <v>0</v>
      </c>
      <c r="C236" s="46">
        <v>0</v>
      </c>
      <c r="D236" s="46">
        <v>0</v>
      </c>
      <c r="E236" s="46">
        <v>7.3871240000000005E-2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x14ac:dyDescent="0.25">
      <c r="A237" s="21" t="s">
        <v>61</v>
      </c>
      <c r="B237" s="46">
        <v>0</v>
      </c>
      <c r="C237" s="46">
        <v>0</v>
      </c>
      <c r="D237" s="46">
        <v>0</v>
      </c>
      <c r="E237" s="46">
        <v>6.1950039999999998E-2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x14ac:dyDescent="0.25">
      <c r="A238" s="21" t="s">
        <v>130</v>
      </c>
      <c r="B238" s="46">
        <v>0</v>
      </c>
      <c r="C238" s="46">
        <v>0</v>
      </c>
      <c r="D238" s="46">
        <v>0</v>
      </c>
      <c r="E238" s="46">
        <v>5.0175070000000002E-2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x14ac:dyDescent="0.25">
      <c r="A239" s="21" t="s">
        <v>46</v>
      </c>
      <c r="B239" s="46">
        <v>0</v>
      </c>
      <c r="C239" s="46">
        <v>0</v>
      </c>
      <c r="D239" s="46">
        <v>0</v>
      </c>
      <c r="E239" s="46">
        <v>4.8611740000000001E-2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x14ac:dyDescent="0.25">
      <c r="A240" s="21" t="s">
        <v>363</v>
      </c>
      <c r="B240" s="46">
        <v>0</v>
      </c>
      <c r="C240" s="46">
        <v>0</v>
      </c>
      <c r="D240" s="46">
        <v>0</v>
      </c>
      <c r="E240" s="46">
        <v>1.99848E-2</v>
      </c>
      <c r="F240" s="46">
        <v>0</v>
      </c>
      <c r="G240" s="46">
        <v>0</v>
      </c>
      <c r="H240" s="46">
        <v>0</v>
      </c>
      <c r="I240" s="46">
        <v>0</v>
      </c>
      <c r="J240" s="46">
        <v>0</v>
      </c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x14ac:dyDescent="0.25">
      <c r="A241" s="21" t="s">
        <v>216</v>
      </c>
      <c r="B241" s="46">
        <v>0</v>
      </c>
      <c r="C241" s="46">
        <v>0</v>
      </c>
      <c r="D241" s="46">
        <v>0</v>
      </c>
      <c r="E241" s="46">
        <v>1.7807169999999997E-2</v>
      </c>
      <c r="F241" s="46">
        <v>0</v>
      </c>
      <c r="G241" s="46">
        <v>0</v>
      </c>
      <c r="H241" s="46">
        <v>0</v>
      </c>
      <c r="I241" s="46">
        <v>0</v>
      </c>
      <c r="J241" s="46">
        <v>0</v>
      </c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x14ac:dyDescent="0.25">
      <c r="A242" s="21" t="s">
        <v>7</v>
      </c>
      <c r="B242" s="46">
        <v>0</v>
      </c>
      <c r="C242" s="46">
        <v>0</v>
      </c>
      <c r="D242" s="46">
        <v>0</v>
      </c>
      <c r="E242" s="46">
        <v>1.5201020000000001E-2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x14ac:dyDescent="0.25">
      <c r="A243" s="21" t="s">
        <v>364</v>
      </c>
      <c r="B243" s="46">
        <v>0</v>
      </c>
      <c r="C243" s="46">
        <v>0</v>
      </c>
      <c r="D243" s="46">
        <v>0</v>
      </c>
      <c r="E243" s="46">
        <v>9.4182399999999996E-3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x14ac:dyDescent="0.25">
      <c r="A244" s="21" t="s">
        <v>399</v>
      </c>
      <c r="B244" s="46">
        <v>0</v>
      </c>
      <c r="C244" s="46">
        <v>0</v>
      </c>
      <c r="D244" s="46">
        <v>0</v>
      </c>
      <c r="E244" s="46">
        <v>8.28746E-3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x14ac:dyDescent="0.25">
      <c r="A245" s="21" t="s">
        <v>374</v>
      </c>
      <c r="B245" s="46">
        <v>0</v>
      </c>
      <c r="C245" s="46">
        <v>0</v>
      </c>
      <c r="D245" s="46">
        <v>0</v>
      </c>
      <c r="E245" s="46">
        <v>4.1999999999999997E-3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x14ac:dyDescent="0.25">
      <c r="A246" s="21" t="s">
        <v>367</v>
      </c>
      <c r="B246" s="46">
        <v>0</v>
      </c>
      <c r="C246" s="46">
        <v>0</v>
      </c>
      <c r="D246" s="46">
        <v>0</v>
      </c>
      <c r="E246" s="46">
        <v>1.6801199999999998E-3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x14ac:dyDescent="0.25">
      <c r="A247" s="21" t="s">
        <v>42</v>
      </c>
      <c r="B247" s="46">
        <v>0</v>
      </c>
      <c r="C247" s="46">
        <v>0</v>
      </c>
      <c r="D247" s="46">
        <v>0</v>
      </c>
      <c r="E247" s="46">
        <v>7.4508000000000007E-4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x14ac:dyDescent="0.25">
      <c r="A248" s="21" t="s">
        <v>51</v>
      </c>
      <c r="B248" s="46">
        <v>0</v>
      </c>
      <c r="C248" s="46">
        <v>0</v>
      </c>
      <c r="D248" s="46">
        <v>0</v>
      </c>
      <c r="E248" s="46">
        <v>5.0681999999999995E-4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x14ac:dyDescent="0.25">
      <c r="A249" s="21" t="s">
        <v>366</v>
      </c>
      <c r="B249" s="46">
        <v>0</v>
      </c>
      <c r="C249" s="46">
        <v>0</v>
      </c>
      <c r="D249" s="46">
        <v>0</v>
      </c>
      <c r="E249" s="46">
        <v>3.8745000000000001E-4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x14ac:dyDescent="0.25">
      <c r="A250" s="21" t="s">
        <v>373</v>
      </c>
      <c r="B250" s="46">
        <v>0</v>
      </c>
      <c r="C250" s="46">
        <v>0</v>
      </c>
      <c r="D250" s="46">
        <v>0</v>
      </c>
      <c r="E250" s="46">
        <v>3.7550000000000002E-4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x14ac:dyDescent="0.25">
      <c r="A251" s="21" t="s">
        <v>401</v>
      </c>
      <c r="B251" s="46">
        <v>0</v>
      </c>
      <c r="C251" s="46">
        <v>0</v>
      </c>
      <c r="D251" s="46">
        <v>0</v>
      </c>
      <c r="E251" s="46">
        <v>1.749E-4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x14ac:dyDescent="0.25">
      <c r="A252" s="52" t="s">
        <v>50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</row>
    <row r="253" spans="1:27" x14ac:dyDescent="0.25">
      <c r="A253" s="133" t="s">
        <v>217</v>
      </c>
      <c r="B253" s="134">
        <f>SUBTOTAL(109,Table1218[Column2])</f>
        <v>6.7289742599999993</v>
      </c>
      <c r="C253" s="134">
        <f>SUBTOTAL(109,Table1218[Column3])</f>
        <v>1148.14517888</v>
      </c>
      <c r="D253" s="134">
        <f>SUBTOTAL(109,Table1218[Column4])</f>
        <v>55.45768486999998</v>
      </c>
      <c r="E253" s="134">
        <f>SUBTOTAL(109,Table1218[Column5])</f>
        <v>3589.2152070499978</v>
      </c>
      <c r="F253" s="134">
        <f>SUBTOTAL(109,Table1218[Column6])</f>
        <v>41.403222670000012</v>
      </c>
      <c r="G253" s="134">
        <f>SUBTOTAL(109,Table1218[Column7])</f>
        <v>2839.9473448900017</v>
      </c>
      <c r="H253" s="134">
        <f>SUBTOTAL(109,Table1218[Column8])</f>
        <v>1140.7170889099991</v>
      </c>
      <c r="I253" s="134">
        <f>SUBTOTAL(109,Table1218[Column9])</f>
        <v>2077.2974208899991</v>
      </c>
      <c r="J253" s="134">
        <f>SUBTOTAL(109,Table1218[Column10])</f>
        <v>1108.3474446599996</v>
      </c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R33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318" customWidth="1"/>
    <col min="2" max="2" width="11.1796875" style="318" bestFit="1" customWidth="1"/>
    <col min="3" max="3" width="7.36328125" style="318" bestFit="1" customWidth="1"/>
    <col min="4" max="4" width="11.1796875" style="318" bestFit="1" customWidth="1"/>
    <col min="5" max="5" width="10.1796875" style="318" bestFit="1" customWidth="1"/>
    <col min="6" max="6" width="11.1796875" style="318" bestFit="1" customWidth="1"/>
    <col min="7" max="7" width="10.26953125" style="318" bestFit="1" customWidth="1"/>
    <col min="8" max="9" width="9.1796875" style="318" bestFit="1" customWidth="1"/>
    <col min="10" max="10" width="9.26953125" style="318" bestFit="1" customWidth="1"/>
    <col min="11" max="11" width="9.36328125" style="1" bestFit="1" customWidth="1"/>
    <col min="12" max="12" width="12.81640625" style="1" customWidth="1"/>
    <col min="13" max="13" width="9.26953125" style="318" bestFit="1" customWidth="1"/>
    <col min="14" max="16384" width="9.1796875" style="318"/>
  </cols>
  <sheetData>
    <row r="1" spans="1:18" ht="13" x14ac:dyDescent="0.3">
      <c r="A1" s="11" t="s">
        <v>392</v>
      </c>
      <c r="C1" s="1"/>
      <c r="D1" s="1"/>
      <c r="E1" s="1"/>
      <c r="F1" s="1"/>
      <c r="G1" s="1"/>
      <c r="K1" s="628" t="s">
        <v>239</v>
      </c>
      <c r="L1" s="628"/>
    </row>
    <row r="2" spans="1:18" s="319" customFormat="1" ht="14.5" customHeight="1" x14ac:dyDescent="0.3">
      <c r="A2" s="606" t="s">
        <v>391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30" t="s">
        <v>241</v>
      </c>
      <c r="I2" s="630" t="s">
        <v>390</v>
      </c>
      <c r="M2" s="3"/>
    </row>
    <row r="3" spans="1:18" s="319" customFormat="1" ht="13" x14ac:dyDescent="0.3">
      <c r="A3" s="607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31"/>
      <c r="I3" s="631"/>
      <c r="M3" s="3"/>
    </row>
    <row r="4" spans="1:18" ht="13" x14ac:dyDescent="0.3">
      <c r="A4" s="90" t="s">
        <v>389</v>
      </c>
      <c r="B4" s="135">
        <v>4421.9115609</v>
      </c>
      <c r="C4" s="90">
        <f>(B4/$B$9)*100</f>
        <v>43.610574320559067</v>
      </c>
      <c r="D4" s="135">
        <v>4023.9752365700001</v>
      </c>
      <c r="E4" s="90">
        <f>(D4/$D$9)*100</f>
        <v>37.553305114599809</v>
      </c>
      <c r="F4" s="135">
        <v>6405.4905156300001</v>
      </c>
      <c r="G4" s="558">
        <f>(F4/$F$9)*100</f>
        <v>56.004038008912303</v>
      </c>
      <c r="H4" s="77">
        <f>((F4/D4)-1)*100</f>
        <v>59.18314947410019</v>
      </c>
      <c r="I4" s="77">
        <f>((F4/B4)-1)*100</f>
        <v>44.857951757096615</v>
      </c>
      <c r="K4" s="323"/>
      <c r="L4" s="91"/>
      <c r="M4" s="18"/>
      <c r="N4" s="91"/>
    </row>
    <row r="5" spans="1:18" ht="13" x14ac:dyDescent="0.3">
      <c r="A5" s="88" t="s">
        <v>387</v>
      </c>
      <c r="B5" s="136">
        <v>2899.1392090300001</v>
      </c>
      <c r="C5" s="88">
        <f t="shared" ref="C5:C8" si="0">(B5/$B$9)*100</f>
        <v>28.59241398200114</v>
      </c>
      <c r="D5" s="136">
        <v>3890.85967618</v>
      </c>
      <c r="E5" s="88">
        <f t="shared" ref="E5:E8" si="1">(D5/$D$9)*100</f>
        <v>36.311018827796602</v>
      </c>
      <c r="F5" s="136">
        <v>2668.3587311300003</v>
      </c>
      <c r="G5" s="559">
        <f t="shared" ref="G5:G8" si="2">(F5/$F$9)*100</f>
        <v>23.329807988158386</v>
      </c>
      <c r="H5" s="71">
        <f t="shared" ref="H5:H8" si="3">((F5/D5)-1)*100</f>
        <v>-31.419815845176835</v>
      </c>
      <c r="I5" s="71">
        <f t="shared" ref="I5:I6" si="4">((F5/B5)-1)*100</f>
        <v>-7.9603103287066652</v>
      </c>
      <c r="K5" s="323"/>
      <c r="L5" s="91"/>
      <c r="M5" s="18"/>
      <c r="N5" s="91"/>
    </row>
    <row r="6" spans="1:18" ht="13" x14ac:dyDescent="0.3">
      <c r="A6" s="89" t="s">
        <v>388</v>
      </c>
      <c r="B6" s="137">
        <v>2818.4890774400101</v>
      </c>
      <c r="C6" s="89">
        <f t="shared" si="0"/>
        <v>27.797011697439789</v>
      </c>
      <c r="D6" s="137">
        <v>2800.5016454199999</v>
      </c>
      <c r="E6" s="89">
        <f t="shared" si="1"/>
        <v>26.135372754937826</v>
      </c>
      <c r="F6" s="137">
        <v>2363.5945887800103</v>
      </c>
      <c r="G6" s="560">
        <f t="shared" si="2"/>
        <v>20.665215390561865</v>
      </c>
      <c r="H6" s="127">
        <f t="shared" si="3"/>
        <v>-15.60102838555788</v>
      </c>
      <c r="I6" s="127">
        <f t="shared" si="4"/>
        <v>-16.139657673364958</v>
      </c>
      <c r="K6" s="323"/>
      <c r="L6" s="91"/>
      <c r="M6" s="18"/>
      <c r="N6" s="91"/>
    </row>
    <row r="7" spans="1:18" x14ac:dyDescent="0.25">
      <c r="A7" s="88" t="s">
        <v>660</v>
      </c>
      <c r="B7" s="88">
        <v>0</v>
      </c>
      <c r="C7" s="88">
        <f>(B7/$B$9)*100</f>
        <v>0</v>
      </c>
      <c r="D7" s="136">
        <v>0</v>
      </c>
      <c r="E7" s="88">
        <f t="shared" si="1"/>
        <v>0</v>
      </c>
      <c r="F7" s="136">
        <v>0.10735427</v>
      </c>
      <c r="G7" s="559">
        <f t="shared" si="2"/>
        <v>9.3861236744141965E-4</v>
      </c>
      <c r="H7" s="71" t="s">
        <v>240</v>
      </c>
      <c r="I7" s="71" t="s">
        <v>240</v>
      </c>
      <c r="K7" s="323"/>
      <c r="L7" s="318"/>
      <c r="M7" s="1"/>
    </row>
    <row r="8" spans="1:18" x14ac:dyDescent="0.25">
      <c r="A8" s="278" t="s">
        <v>437</v>
      </c>
      <c r="B8" s="278">
        <v>0</v>
      </c>
      <c r="C8" s="278">
        <f t="shared" si="0"/>
        <v>0</v>
      </c>
      <c r="D8" s="278">
        <v>3.2500000000000001E-2</v>
      </c>
      <c r="E8" s="278">
        <f t="shared" si="1"/>
        <v>3.0330266576511592E-4</v>
      </c>
      <c r="F8" s="278">
        <v>0</v>
      </c>
      <c r="G8" s="561">
        <f t="shared" si="2"/>
        <v>0</v>
      </c>
      <c r="H8" s="562">
        <f t="shared" si="3"/>
        <v>-100</v>
      </c>
      <c r="I8" s="562" t="s">
        <v>240</v>
      </c>
      <c r="K8" s="323"/>
      <c r="L8" s="318"/>
      <c r="M8" s="1"/>
    </row>
    <row r="9" spans="1:18" s="319" customFormat="1" ht="13" x14ac:dyDescent="0.3">
      <c r="A9" s="42" t="s">
        <v>217</v>
      </c>
      <c r="B9" s="87">
        <f>SUM(B4:B8)</f>
        <v>10139.53984737001</v>
      </c>
      <c r="C9" s="87">
        <f t="shared" ref="C9:G9" si="5">SUM(C4:C8)</f>
        <v>100</v>
      </c>
      <c r="D9" s="87">
        <f t="shared" si="5"/>
        <v>10715.369058169999</v>
      </c>
      <c r="E9" s="87">
        <f t="shared" si="5"/>
        <v>100</v>
      </c>
      <c r="F9" s="87">
        <f t="shared" si="5"/>
        <v>11437.55118981001</v>
      </c>
      <c r="G9" s="87">
        <f t="shared" si="5"/>
        <v>99.999999999999986</v>
      </c>
      <c r="H9" s="554">
        <f>((F9/D9)-1)*100</f>
        <v>6.7396850982876622</v>
      </c>
      <c r="I9" s="554">
        <f>((F9/B9)-1)*100</f>
        <v>12.801481743539656</v>
      </c>
      <c r="K9" s="3"/>
      <c r="L9" s="3"/>
    </row>
    <row r="10" spans="1:18" x14ac:dyDescent="0.25">
      <c r="F10" s="322"/>
      <c r="G10" s="8"/>
      <c r="H10" s="8"/>
      <c r="I10" s="8"/>
    </row>
    <row r="11" spans="1:18" x14ac:dyDescent="0.25">
      <c r="G11" s="4"/>
      <c r="H11" s="8"/>
      <c r="I11" s="8"/>
      <c r="N11" s="4"/>
      <c r="O11" s="4"/>
      <c r="P11" s="4"/>
      <c r="Q11" s="4"/>
      <c r="R11" s="4"/>
    </row>
    <row r="12" spans="1:18" x14ac:dyDescent="0.25">
      <c r="G12" s="8"/>
      <c r="H12" s="8"/>
      <c r="I12" s="8"/>
      <c r="N12" s="4"/>
      <c r="O12" s="4"/>
      <c r="P12" s="4"/>
      <c r="Q12" s="4"/>
      <c r="R12" s="4"/>
    </row>
    <row r="13" spans="1:18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x14ac:dyDescent="0.25">
      <c r="N14" s="4"/>
      <c r="O14" s="4"/>
      <c r="P14" s="4"/>
      <c r="Q14" s="4"/>
      <c r="R14" s="4"/>
    </row>
    <row r="15" spans="1:18" x14ac:dyDescent="0.25">
      <c r="C15" s="321"/>
      <c r="K15" s="318"/>
      <c r="L15" s="318"/>
    </row>
    <row r="16" spans="1:18" x14ac:dyDescent="0.25">
      <c r="K16" s="318"/>
      <c r="L16" s="318"/>
    </row>
    <row r="17" spans="1:12" x14ac:dyDescent="0.25">
      <c r="E17" s="85"/>
      <c r="F17" s="1"/>
      <c r="G17" s="1"/>
      <c r="H17" s="635"/>
      <c r="I17" s="635"/>
      <c r="K17" s="318"/>
      <c r="L17" s="318"/>
    </row>
    <row r="18" spans="1:12" x14ac:dyDescent="0.25">
      <c r="F18" s="1"/>
      <c r="G18" s="1"/>
      <c r="H18" s="1"/>
      <c r="I18" s="1"/>
      <c r="K18" s="318"/>
      <c r="L18" s="318"/>
    </row>
    <row r="19" spans="1:12" x14ac:dyDescent="0.25">
      <c r="E19" s="8"/>
      <c r="F19" s="1"/>
      <c r="G19" s="67"/>
      <c r="H19" s="67"/>
      <c r="I19" s="67"/>
      <c r="K19" s="318"/>
      <c r="L19" s="318"/>
    </row>
    <row r="20" spans="1:12" x14ac:dyDescent="0.25">
      <c r="E20" s="8"/>
      <c r="F20" s="1"/>
      <c r="G20" s="67"/>
      <c r="H20" s="67"/>
      <c r="I20" s="67"/>
      <c r="K20" s="318"/>
      <c r="L20" s="318"/>
    </row>
    <row r="21" spans="1:12" x14ac:dyDescent="0.25">
      <c r="F21" s="1"/>
      <c r="G21" s="67"/>
      <c r="H21" s="67"/>
      <c r="I21" s="67"/>
      <c r="K21" s="318"/>
      <c r="L21" s="318"/>
    </row>
    <row r="22" spans="1:12" x14ac:dyDescent="0.25">
      <c r="F22" s="1"/>
      <c r="G22" s="67"/>
      <c r="H22" s="67"/>
      <c r="I22" s="67"/>
      <c r="K22" s="318"/>
      <c r="L22" s="318"/>
    </row>
    <row r="23" spans="1:12" x14ac:dyDescent="0.25">
      <c r="F23" s="1"/>
      <c r="G23" s="67"/>
      <c r="H23" s="67"/>
      <c r="I23" s="67"/>
      <c r="K23" s="318"/>
      <c r="L23" s="318"/>
    </row>
    <row r="24" spans="1:12" x14ac:dyDescent="0.25">
      <c r="F24" s="1"/>
      <c r="G24" s="67"/>
      <c r="H24" s="67"/>
      <c r="I24" s="67"/>
      <c r="K24" s="318"/>
      <c r="L24" s="318"/>
    </row>
    <row r="25" spans="1:12" x14ac:dyDescent="0.25">
      <c r="E25" s="67"/>
      <c r="F25" s="67"/>
      <c r="G25" s="67"/>
      <c r="K25" s="318"/>
      <c r="L25" s="318"/>
    </row>
    <row r="26" spans="1:12" x14ac:dyDescent="0.25">
      <c r="E26" s="67"/>
      <c r="F26" s="67"/>
      <c r="G26" s="67"/>
      <c r="K26" s="318"/>
      <c r="L26" s="318"/>
    </row>
    <row r="27" spans="1:12" x14ac:dyDescent="0.25">
      <c r="A27" s="1"/>
      <c r="B27" s="1"/>
      <c r="C27" s="1"/>
      <c r="D27" s="1"/>
      <c r="E27" s="67"/>
      <c r="F27" s="67"/>
      <c r="G27" s="67"/>
      <c r="K27" s="318"/>
      <c r="L27" s="318"/>
    </row>
    <row r="28" spans="1:12" x14ac:dyDescent="0.25">
      <c r="A28" s="1"/>
      <c r="B28" s="67"/>
      <c r="C28" s="67"/>
      <c r="D28" s="67"/>
      <c r="E28" s="67"/>
      <c r="F28" s="67"/>
      <c r="G28" s="67"/>
      <c r="K28" s="318"/>
      <c r="L28" s="318"/>
    </row>
    <row r="29" spans="1:12" x14ac:dyDescent="0.25">
      <c r="A29" s="1"/>
      <c r="B29" s="67"/>
      <c r="C29" s="67"/>
      <c r="D29" s="67"/>
      <c r="E29" s="67"/>
      <c r="F29" s="67"/>
      <c r="G29" s="67"/>
      <c r="K29" s="318"/>
      <c r="L29" s="318"/>
    </row>
    <row r="30" spans="1:12" x14ac:dyDescent="0.25">
      <c r="A30" s="1"/>
      <c r="B30" s="67"/>
      <c r="C30" s="67"/>
      <c r="D30" s="67"/>
      <c r="E30" s="67"/>
      <c r="F30" s="67"/>
      <c r="G30" s="67"/>
      <c r="K30" s="318"/>
      <c r="L30" s="318"/>
    </row>
    <row r="31" spans="1:12" x14ac:dyDescent="0.25">
      <c r="A31" s="1"/>
      <c r="B31" s="67"/>
      <c r="C31" s="67"/>
      <c r="D31" s="67"/>
      <c r="K31" s="318"/>
      <c r="L31" s="318"/>
    </row>
    <row r="32" spans="1:12" x14ac:dyDescent="0.25">
      <c r="A32" s="1"/>
      <c r="B32" s="67"/>
      <c r="C32" s="67"/>
      <c r="D32" s="67"/>
      <c r="K32" s="318"/>
      <c r="L32" s="318"/>
    </row>
    <row r="33" spans="1:12" x14ac:dyDescent="0.25">
      <c r="A33" s="1"/>
      <c r="B33" s="67"/>
      <c r="C33" s="67"/>
      <c r="D33" s="67"/>
      <c r="K33" s="318"/>
      <c r="L33" s="318"/>
    </row>
  </sheetData>
  <mergeCells count="8">
    <mergeCell ref="H17:I17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AJ242"/>
  <sheetViews>
    <sheetView zoomScaleNormal="100" workbookViewId="0">
      <selection activeCell="P1" sqref="P1:Q1"/>
    </sheetView>
  </sheetViews>
  <sheetFormatPr defaultColWidth="8.81640625" defaultRowHeight="12.5" x14ac:dyDescent="0.25"/>
  <cols>
    <col min="1" max="1" width="21.453125" style="20" customWidth="1"/>
    <col min="2" max="5" width="8.81640625" style="20"/>
    <col min="6" max="6" width="20.7265625" style="20" customWidth="1"/>
    <col min="7" max="7" width="9.1796875" style="20" bestFit="1" customWidth="1"/>
    <col min="8" max="8" width="6.81640625" style="20" bestFit="1" customWidth="1"/>
    <col min="9" max="9" width="9.1796875" style="20" bestFit="1" customWidth="1"/>
    <col min="10" max="10" width="8.81640625" style="20"/>
    <col min="11" max="11" width="27.36328125" style="20" customWidth="1"/>
    <col min="12" max="14" width="9.1796875" style="20" bestFit="1" customWidth="1"/>
    <col min="15" max="16" width="8.81640625" style="20"/>
    <col min="17" max="18" width="9.1796875" style="20" bestFit="1" customWidth="1"/>
    <col min="19" max="19" width="8.81640625" style="315"/>
    <col min="20" max="21" width="9.26953125" style="20" bestFit="1" customWidth="1"/>
    <col min="22" max="22" width="9.1796875" style="20" customWidth="1"/>
    <col min="23" max="23" width="9.1796875" style="315" bestFit="1" customWidth="1"/>
    <col min="24" max="24" width="9.26953125" style="20" bestFit="1" customWidth="1"/>
    <col min="25" max="25" width="9.26953125" style="315" bestFit="1" customWidth="1"/>
    <col min="26" max="26" width="9.26953125" style="315" customWidth="1"/>
    <col min="27" max="27" width="9.1796875" style="20" customWidth="1"/>
    <col min="28" max="28" width="9.26953125" style="20" bestFit="1" customWidth="1"/>
    <col min="29" max="29" width="9.1796875" style="20" customWidth="1"/>
    <col min="30" max="30" width="9.1796875" style="315" bestFit="1" customWidth="1"/>
    <col min="31" max="31" width="9.1796875" style="315" customWidth="1"/>
    <col min="32" max="32" width="9.1796875" style="20" customWidth="1"/>
    <col min="33" max="34" width="9.36328125" style="20" bestFit="1" customWidth="1"/>
    <col min="35" max="35" width="9.1796875" style="20" customWidth="1"/>
    <col min="36" max="36" width="8.81640625" style="315"/>
    <col min="37" max="37" width="8.90625" style="20" bestFit="1" customWidth="1"/>
    <col min="38" max="38" width="9.1796875" style="20" bestFit="1" customWidth="1"/>
    <col min="39" max="39" width="9.1796875" style="20" customWidth="1"/>
    <col min="40" max="40" width="9.1796875" style="20" bestFit="1" customWidth="1"/>
    <col min="41" max="41" width="8.81640625" style="20"/>
    <col min="42" max="44" width="8.90625" style="20" bestFit="1" customWidth="1"/>
    <col min="45" max="16384" width="8.81640625" style="20"/>
  </cols>
  <sheetData>
    <row r="1" spans="1:35" ht="13" x14ac:dyDescent="0.3">
      <c r="A1" s="639" t="s">
        <v>395</v>
      </c>
      <c r="B1" s="639"/>
      <c r="C1" s="639"/>
      <c r="D1" s="639"/>
      <c r="E1" s="639"/>
      <c r="F1" s="639"/>
      <c r="G1" s="639"/>
      <c r="P1" s="638" t="s">
        <v>239</v>
      </c>
      <c r="Q1" s="638"/>
    </row>
    <row r="2" spans="1:35" ht="13" x14ac:dyDescent="0.3">
      <c r="A2" s="636" t="s">
        <v>389</v>
      </c>
      <c r="B2" s="640"/>
      <c r="C2" s="640"/>
      <c r="D2" s="637"/>
      <c r="E2" s="96"/>
      <c r="F2" s="636" t="s">
        <v>387</v>
      </c>
      <c r="G2" s="640"/>
      <c r="H2" s="640"/>
      <c r="I2" s="637"/>
      <c r="J2" s="96"/>
      <c r="K2" s="641" t="s">
        <v>388</v>
      </c>
      <c r="L2" s="642"/>
      <c r="M2" s="642"/>
      <c r="N2" s="643"/>
      <c r="S2" s="20"/>
      <c r="T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35" ht="13" x14ac:dyDescent="0.3">
      <c r="A3" s="26" t="s">
        <v>394</v>
      </c>
      <c r="B3" s="636">
        <v>2025</v>
      </c>
      <c r="C3" s="637"/>
      <c r="D3" s="428">
        <v>2026</v>
      </c>
      <c r="E3" s="96"/>
      <c r="F3" s="26" t="s">
        <v>394</v>
      </c>
      <c r="G3" s="636">
        <v>2025</v>
      </c>
      <c r="H3" s="637"/>
      <c r="I3" s="428">
        <v>2026</v>
      </c>
      <c r="J3" s="96"/>
      <c r="K3" s="26" t="s">
        <v>394</v>
      </c>
      <c r="L3" s="636">
        <v>2025</v>
      </c>
      <c r="M3" s="637"/>
      <c r="N3" s="428">
        <v>2026</v>
      </c>
      <c r="S3" s="20"/>
      <c r="T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</row>
    <row r="4" spans="1:35" ht="14.5" customHeight="1" x14ac:dyDescent="0.3">
      <c r="A4" s="94" t="s">
        <v>220</v>
      </c>
      <c r="B4" s="93">
        <v>45658</v>
      </c>
      <c r="C4" s="93">
        <v>45992</v>
      </c>
      <c r="D4" s="93">
        <v>46023</v>
      </c>
      <c r="E4" s="95"/>
      <c r="F4" s="94" t="s">
        <v>220</v>
      </c>
      <c r="G4" s="93">
        <v>45658</v>
      </c>
      <c r="H4" s="93">
        <v>45992</v>
      </c>
      <c r="I4" s="93">
        <v>46023</v>
      </c>
      <c r="J4" s="95"/>
      <c r="K4" s="94" t="s">
        <v>220</v>
      </c>
      <c r="L4" s="93">
        <v>45658</v>
      </c>
      <c r="M4" s="93">
        <v>45992</v>
      </c>
      <c r="N4" s="93">
        <v>46023</v>
      </c>
      <c r="P4" s="11"/>
      <c r="Q4" s="11"/>
      <c r="S4" s="20"/>
      <c r="T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s="11" customFormat="1" ht="13" x14ac:dyDescent="0.3">
      <c r="A5" s="413" t="s">
        <v>53</v>
      </c>
      <c r="B5" s="413">
        <v>1403.11970395</v>
      </c>
      <c r="C5" s="413">
        <v>1801.34200457</v>
      </c>
      <c r="D5" s="413">
        <v>3003.89277201</v>
      </c>
      <c r="E5" s="413"/>
      <c r="F5" s="413" t="s">
        <v>216</v>
      </c>
      <c r="G5" s="413">
        <v>1822.9927774600001</v>
      </c>
      <c r="H5" s="413">
        <v>1931.1609330699998</v>
      </c>
      <c r="I5" s="413">
        <v>1806.82536009</v>
      </c>
      <c r="J5" s="413"/>
      <c r="K5" s="413" t="s">
        <v>8</v>
      </c>
      <c r="L5" s="413">
        <v>478.59712217000003</v>
      </c>
      <c r="M5" s="413">
        <v>407.18323419000001</v>
      </c>
      <c r="N5" s="419">
        <v>544.53685920000009</v>
      </c>
      <c r="P5" s="20"/>
      <c r="S5" s="20"/>
      <c r="T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</row>
    <row r="6" spans="1:35" x14ac:dyDescent="0.25">
      <c r="A6" s="60" t="s">
        <v>8</v>
      </c>
      <c r="B6" s="60">
        <v>759.77856212999995</v>
      </c>
      <c r="C6" s="60">
        <v>417.02264163999996</v>
      </c>
      <c r="D6" s="60">
        <v>830.40712780000104</v>
      </c>
      <c r="E6" s="60"/>
      <c r="F6" s="60" t="s">
        <v>121</v>
      </c>
      <c r="G6" s="60">
        <v>949.71528135000005</v>
      </c>
      <c r="H6" s="60">
        <v>1867.65561871</v>
      </c>
      <c r="I6" s="60">
        <v>782.04202780999992</v>
      </c>
      <c r="J6" s="60"/>
      <c r="K6" s="60" t="s">
        <v>62</v>
      </c>
      <c r="L6" s="60">
        <v>509.98739139999998</v>
      </c>
      <c r="M6" s="60">
        <v>352.70855141000004</v>
      </c>
      <c r="N6" s="46">
        <v>369.75808769000002</v>
      </c>
      <c r="S6" s="20"/>
      <c r="T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x14ac:dyDescent="0.25">
      <c r="A7" s="413" t="s">
        <v>54</v>
      </c>
      <c r="B7" s="413">
        <v>304.18945744999996</v>
      </c>
      <c r="C7" s="413">
        <v>533.41802873999904</v>
      </c>
      <c r="D7" s="413">
        <v>717.76953236000099</v>
      </c>
      <c r="E7" s="413"/>
      <c r="F7" s="413" t="s">
        <v>184</v>
      </c>
      <c r="G7" s="413">
        <v>69.82222281</v>
      </c>
      <c r="H7" s="413">
        <v>34.332467539999996</v>
      </c>
      <c r="I7" s="413">
        <v>35.502906689999996</v>
      </c>
      <c r="J7" s="413"/>
      <c r="K7" s="413" t="s">
        <v>46</v>
      </c>
      <c r="L7" s="413">
        <v>148.96181705000001</v>
      </c>
      <c r="M7" s="413">
        <v>131.80745893</v>
      </c>
      <c r="N7" s="419">
        <v>178.65173816000001</v>
      </c>
      <c r="S7" s="20"/>
      <c r="T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x14ac:dyDescent="0.25">
      <c r="A8" s="60" t="s">
        <v>52</v>
      </c>
      <c r="B8" s="60">
        <v>295.74458007999999</v>
      </c>
      <c r="C8" s="60">
        <v>351.76126906000104</v>
      </c>
      <c r="D8" s="60">
        <v>651.99157875000003</v>
      </c>
      <c r="E8" s="60"/>
      <c r="F8" s="60" t="s">
        <v>10</v>
      </c>
      <c r="G8" s="60">
        <v>14.28573815</v>
      </c>
      <c r="H8" s="60">
        <v>23.38636825</v>
      </c>
      <c r="I8" s="60">
        <v>12.24736884</v>
      </c>
      <c r="J8" s="60"/>
      <c r="K8" s="60" t="s">
        <v>85</v>
      </c>
      <c r="L8" s="60">
        <v>326.52471267999999</v>
      </c>
      <c r="M8" s="60">
        <v>151.55419900000001</v>
      </c>
      <c r="N8" s="46">
        <v>152.80880827000001</v>
      </c>
      <c r="S8" s="20"/>
      <c r="T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x14ac:dyDescent="0.25">
      <c r="A9" s="413" t="s">
        <v>18</v>
      </c>
      <c r="B9" s="413">
        <v>163.68648931999999</v>
      </c>
      <c r="C9" s="413">
        <v>195.58940537999999</v>
      </c>
      <c r="D9" s="413">
        <v>445.20713245999997</v>
      </c>
      <c r="E9" s="413"/>
      <c r="F9" s="413" t="s">
        <v>8</v>
      </c>
      <c r="G9" s="413">
        <v>5.9737850000000003</v>
      </c>
      <c r="H9" s="413">
        <v>3.9593259999999999</v>
      </c>
      <c r="I9" s="413">
        <v>8.9472109999999994</v>
      </c>
      <c r="J9" s="413"/>
      <c r="K9" s="413" t="s">
        <v>96</v>
      </c>
      <c r="L9" s="413">
        <v>51.68068315</v>
      </c>
      <c r="M9" s="413">
        <v>73.760687840000003</v>
      </c>
      <c r="N9" s="419">
        <v>115.74192381</v>
      </c>
      <c r="S9" s="20"/>
      <c r="T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x14ac:dyDescent="0.25">
      <c r="A10" s="60" t="s">
        <v>51</v>
      </c>
      <c r="B10" s="60">
        <v>59.469632799999999</v>
      </c>
      <c r="C10" s="60">
        <v>10.846846880000001</v>
      </c>
      <c r="D10" s="60">
        <v>183.72253444</v>
      </c>
      <c r="E10" s="60"/>
      <c r="F10" s="60" t="s">
        <v>11</v>
      </c>
      <c r="G10" s="60">
        <v>1.1133000500000001</v>
      </c>
      <c r="H10" s="60">
        <v>1.8178810000000001</v>
      </c>
      <c r="I10" s="60">
        <v>2.8694929999999998</v>
      </c>
      <c r="J10" s="60"/>
      <c r="K10" s="60" t="s">
        <v>0</v>
      </c>
      <c r="L10" s="60">
        <v>58.206876139999999</v>
      </c>
      <c r="M10" s="60">
        <v>110.26615200000001</v>
      </c>
      <c r="N10" s="46">
        <v>96.035247999999996</v>
      </c>
      <c r="S10" s="20"/>
      <c r="T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x14ac:dyDescent="0.25">
      <c r="A11" s="413" t="s">
        <v>1</v>
      </c>
      <c r="B11" s="413">
        <v>58.983208920000003</v>
      </c>
      <c r="C11" s="413">
        <v>203.20065413999998</v>
      </c>
      <c r="D11" s="413">
        <v>109.90639965999999</v>
      </c>
      <c r="E11" s="413"/>
      <c r="F11" s="413" t="s">
        <v>211</v>
      </c>
      <c r="G11" s="413">
        <v>2.7163847400000001</v>
      </c>
      <c r="H11" s="413">
        <v>4.3002894600000001</v>
      </c>
      <c r="I11" s="413">
        <v>2.2430959599999998</v>
      </c>
      <c r="J11" s="413"/>
      <c r="K11" s="413" t="s">
        <v>18</v>
      </c>
      <c r="L11" s="413">
        <v>35.605186979999999</v>
      </c>
      <c r="M11" s="413">
        <v>612.88970459000006</v>
      </c>
      <c r="N11" s="419">
        <v>89.066685769999992</v>
      </c>
      <c r="S11" s="20"/>
      <c r="T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x14ac:dyDescent="0.25">
      <c r="A12" s="60" t="s">
        <v>36</v>
      </c>
      <c r="B12" s="60">
        <v>104.82316557999999</v>
      </c>
      <c r="C12" s="60">
        <v>84.831194930000009</v>
      </c>
      <c r="D12" s="60">
        <v>90.033125040000002</v>
      </c>
      <c r="E12" s="60"/>
      <c r="F12" s="60" t="s">
        <v>162</v>
      </c>
      <c r="G12" s="60">
        <v>4.8589199999999999E-2</v>
      </c>
      <c r="H12" s="60">
        <v>0.42596633</v>
      </c>
      <c r="I12" s="60">
        <v>1.9249615600000001</v>
      </c>
      <c r="J12" s="60"/>
      <c r="K12" s="60" t="s">
        <v>30</v>
      </c>
      <c r="L12" s="60">
        <v>124.36496145000001</v>
      </c>
      <c r="M12" s="60">
        <v>98.998637479999999</v>
      </c>
      <c r="N12" s="46">
        <v>85.945945040000012</v>
      </c>
      <c r="S12" s="20"/>
      <c r="T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x14ac:dyDescent="0.25">
      <c r="A13" s="413" t="s">
        <v>127</v>
      </c>
      <c r="B13" s="413">
        <v>0.70225856000000009</v>
      </c>
      <c r="C13" s="413">
        <v>1.3410712900000001</v>
      </c>
      <c r="D13" s="413">
        <v>53.420580479999998</v>
      </c>
      <c r="E13" s="413"/>
      <c r="F13" s="413" t="s">
        <v>81</v>
      </c>
      <c r="G13" s="413">
        <v>3.4965239999999995E-2</v>
      </c>
      <c r="H13" s="413">
        <v>0.67241549</v>
      </c>
      <c r="I13" s="413">
        <v>1.39868009</v>
      </c>
      <c r="J13" s="413"/>
      <c r="K13" s="413" t="s">
        <v>101</v>
      </c>
      <c r="L13" s="413">
        <v>54.368751170000003</v>
      </c>
      <c r="M13" s="413">
        <v>105.94285945999999</v>
      </c>
      <c r="N13" s="419">
        <v>72.816993980000007</v>
      </c>
      <c r="S13" s="20"/>
      <c r="T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x14ac:dyDescent="0.25">
      <c r="A14" s="60" t="s">
        <v>10</v>
      </c>
      <c r="B14" s="60">
        <v>61.767867350000003</v>
      </c>
      <c r="C14" s="60">
        <v>62.587653020000005</v>
      </c>
      <c r="D14" s="60">
        <v>46.43109682</v>
      </c>
      <c r="E14" s="60"/>
      <c r="F14" s="60" t="s">
        <v>202</v>
      </c>
      <c r="G14" s="60">
        <v>5.3700405999999994</v>
      </c>
      <c r="H14" s="60">
        <v>1.82789201</v>
      </c>
      <c r="I14" s="60">
        <v>1.34745322</v>
      </c>
      <c r="J14" s="60"/>
      <c r="K14" s="60" t="s">
        <v>138</v>
      </c>
      <c r="L14" s="60">
        <v>63.526762390000094</v>
      </c>
      <c r="M14" s="60">
        <v>42.707705880000006</v>
      </c>
      <c r="N14" s="46">
        <v>42.877808960000003</v>
      </c>
      <c r="S14" s="20"/>
      <c r="T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x14ac:dyDescent="0.25">
      <c r="A15" s="413" t="s">
        <v>56</v>
      </c>
      <c r="B15" s="413">
        <v>0</v>
      </c>
      <c r="C15" s="413">
        <v>0</v>
      </c>
      <c r="D15" s="413">
        <v>45.222053619999997</v>
      </c>
      <c r="E15" s="413"/>
      <c r="F15" s="413" t="s">
        <v>151</v>
      </c>
      <c r="G15" s="413">
        <v>0.19799488000000001</v>
      </c>
      <c r="H15" s="413">
        <v>1.36534325</v>
      </c>
      <c r="I15" s="413">
        <v>1.2038784599999999</v>
      </c>
      <c r="J15" s="413"/>
      <c r="K15" s="413" t="s">
        <v>2</v>
      </c>
      <c r="L15" s="413">
        <v>38.485895759999998</v>
      </c>
      <c r="M15" s="413">
        <v>50.771017030000003</v>
      </c>
      <c r="N15" s="419">
        <v>41.755172819999999</v>
      </c>
      <c r="S15" s="20"/>
      <c r="T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60" t="s">
        <v>45</v>
      </c>
      <c r="B16" s="60">
        <v>90.351245540000008</v>
      </c>
      <c r="C16" s="60">
        <v>63.381907950000006</v>
      </c>
      <c r="D16" s="60">
        <v>36.221002770000005</v>
      </c>
      <c r="E16" s="60"/>
      <c r="F16" s="60" t="s">
        <v>175</v>
      </c>
      <c r="G16" s="60">
        <v>0</v>
      </c>
      <c r="H16" s="60">
        <v>0.70888200000000001</v>
      </c>
      <c r="I16" s="60">
        <v>0.80017568000000006</v>
      </c>
      <c r="J16" s="60"/>
      <c r="K16" s="60" t="s">
        <v>125</v>
      </c>
      <c r="L16" s="60">
        <v>47.513028820000002</v>
      </c>
      <c r="M16" s="60">
        <v>68.962537089999998</v>
      </c>
      <c r="N16" s="46">
        <v>41.72637872</v>
      </c>
      <c r="S16" s="20"/>
      <c r="T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</row>
    <row r="17" spans="1:35" x14ac:dyDescent="0.25">
      <c r="A17" s="413" t="s">
        <v>48</v>
      </c>
      <c r="B17" s="413">
        <v>60.652910259999999</v>
      </c>
      <c r="C17" s="413">
        <v>42.219108290000001</v>
      </c>
      <c r="D17" s="413">
        <v>32.138248730000001</v>
      </c>
      <c r="E17" s="413"/>
      <c r="F17" s="413" t="s">
        <v>57</v>
      </c>
      <c r="G17" s="413">
        <v>0.74642195</v>
      </c>
      <c r="H17" s="413">
        <v>0.66277893999999993</v>
      </c>
      <c r="I17" s="413">
        <v>0.79759365000000004</v>
      </c>
      <c r="J17" s="413"/>
      <c r="K17" s="413" t="s">
        <v>28</v>
      </c>
      <c r="L17" s="413">
        <v>27.409789</v>
      </c>
      <c r="M17" s="413">
        <v>41.051946560000005</v>
      </c>
      <c r="N17" s="419">
        <v>36.82823449</v>
      </c>
      <c r="S17" s="20"/>
      <c r="T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</row>
    <row r="18" spans="1:35" x14ac:dyDescent="0.25">
      <c r="A18" s="60" t="s">
        <v>50</v>
      </c>
      <c r="B18" s="60">
        <v>20.180061899999998</v>
      </c>
      <c r="C18" s="60">
        <v>23.53425974</v>
      </c>
      <c r="D18" s="60">
        <v>25.82044003</v>
      </c>
      <c r="E18" s="60"/>
      <c r="F18" s="60" t="s">
        <v>163</v>
      </c>
      <c r="G18" s="60">
        <v>1.7786179999999999E-2</v>
      </c>
      <c r="H18" s="60">
        <v>0</v>
      </c>
      <c r="I18" s="60">
        <v>0.78316288000000001</v>
      </c>
      <c r="J18" s="60"/>
      <c r="K18" s="60" t="s">
        <v>55</v>
      </c>
      <c r="L18" s="60">
        <v>25.586872079999999</v>
      </c>
      <c r="M18" s="60">
        <v>15.136052960000001</v>
      </c>
      <c r="N18" s="46">
        <v>36.77217383</v>
      </c>
      <c r="S18" s="20"/>
      <c r="T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</row>
    <row r="19" spans="1:35" x14ac:dyDescent="0.25">
      <c r="A19" s="413" t="s">
        <v>62</v>
      </c>
      <c r="B19" s="413">
        <v>40.580490500000003</v>
      </c>
      <c r="C19" s="413">
        <v>64.990438109999999</v>
      </c>
      <c r="D19" s="413">
        <v>24.448016859999999</v>
      </c>
      <c r="E19" s="413"/>
      <c r="F19" s="413" t="s">
        <v>2</v>
      </c>
      <c r="G19" s="413">
        <v>3.3000000000000003E-5</v>
      </c>
      <c r="H19" s="413">
        <v>1.0271051099999999</v>
      </c>
      <c r="I19" s="413">
        <v>0.63796933999999994</v>
      </c>
      <c r="J19" s="413"/>
      <c r="K19" s="413" t="s">
        <v>11</v>
      </c>
      <c r="L19" s="413">
        <v>12.74516667</v>
      </c>
      <c r="M19" s="413">
        <v>23.857164059999999</v>
      </c>
      <c r="N19" s="419">
        <v>32.672550719999997</v>
      </c>
      <c r="S19" s="20"/>
      <c r="T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</row>
    <row r="20" spans="1:35" x14ac:dyDescent="0.25">
      <c r="A20" s="60" t="s">
        <v>27</v>
      </c>
      <c r="B20" s="60">
        <v>9.0887124700000008</v>
      </c>
      <c r="C20" s="60">
        <v>17.437129110000001</v>
      </c>
      <c r="D20" s="60">
        <v>14.30038235</v>
      </c>
      <c r="E20" s="60"/>
      <c r="F20" s="60" t="s">
        <v>157</v>
      </c>
      <c r="G20" s="60">
        <v>0.16477842000000001</v>
      </c>
      <c r="H20" s="60">
        <v>1.3897360000000001E-2</v>
      </c>
      <c r="I20" s="60">
        <v>0.63342655000000003</v>
      </c>
      <c r="J20" s="60"/>
      <c r="K20" s="60" t="s">
        <v>179</v>
      </c>
      <c r="L20" s="60">
        <v>103.6980085</v>
      </c>
      <c r="M20" s="60">
        <v>83.896190439999998</v>
      </c>
      <c r="N20" s="46">
        <v>27.611029089999999</v>
      </c>
      <c r="S20" s="20"/>
      <c r="T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</row>
    <row r="21" spans="1:35" x14ac:dyDescent="0.25">
      <c r="A21" s="60" t="s">
        <v>215</v>
      </c>
      <c r="B21" s="60">
        <v>24.765426770000001</v>
      </c>
      <c r="C21" s="60">
        <v>8.3869545300000006</v>
      </c>
      <c r="D21" s="60">
        <v>13.675758869999999</v>
      </c>
      <c r="E21" s="60"/>
      <c r="F21" s="60" t="s">
        <v>171</v>
      </c>
      <c r="G21" s="60">
        <v>0.48440528000000005</v>
      </c>
      <c r="H21" s="60">
        <v>0.86689861999999995</v>
      </c>
      <c r="I21" s="60">
        <v>0.63334771000000001</v>
      </c>
      <c r="J21" s="60"/>
      <c r="K21" s="60" t="s">
        <v>208</v>
      </c>
      <c r="L21" s="60">
        <v>12.48207476</v>
      </c>
      <c r="M21" s="60">
        <v>19.203549489999997</v>
      </c>
      <c r="N21" s="46">
        <v>25.4928831</v>
      </c>
      <c r="S21" s="20"/>
      <c r="T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x14ac:dyDescent="0.25">
      <c r="A22" s="413" t="s">
        <v>38</v>
      </c>
      <c r="B22" s="413">
        <v>5.9632999999999999E-2</v>
      </c>
      <c r="C22" s="413">
        <v>9.5329871099999988</v>
      </c>
      <c r="D22" s="413">
        <v>8.6412858299999993</v>
      </c>
      <c r="E22" s="413"/>
      <c r="F22" s="413" t="s">
        <v>200</v>
      </c>
      <c r="G22" s="413">
        <v>6.3588944500000002</v>
      </c>
      <c r="H22" s="413">
        <v>2.81981956</v>
      </c>
      <c r="I22" s="413">
        <v>0.54377603000000008</v>
      </c>
      <c r="J22" s="413"/>
      <c r="K22" s="413" t="s">
        <v>84</v>
      </c>
      <c r="L22" s="413">
        <v>28.159041819999999</v>
      </c>
      <c r="M22" s="413">
        <v>20.982076660000001</v>
      </c>
      <c r="N22" s="419">
        <v>24.06805666</v>
      </c>
      <c r="S22" s="20"/>
      <c r="T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</row>
    <row r="23" spans="1:35" x14ac:dyDescent="0.25">
      <c r="A23" s="60" t="s">
        <v>115</v>
      </c>
      <c r="B23" s="60">
        <v>8.8026248999999996</v>
      </c>
      <c r="C23" s="60">
        <v>20.293271399999998</v>
      </c>
      <c r="D23" s="60">
        <v>6.9320514100000006</v>
      </c>
      <c r="E23" s="60"/>
      <c r="F23" s="60" t="s">
        <v>138</v>
      </c>
      <c r="G23" s="60">
        <v>0.37494902000000002</v>
      </c>
      <c r="H23" s="60">
        <v>1.1674125099999999</v>
      </c>
      <c r="I23" s="60">
        <v>0.49247365999999998</v>
      </c>
      <c r="J23" s="60"/>
      <c r="K23" s="60" t="s">
        <v>115</v>
      </c>
      <c r="L23" s="60">
        <v>27.411027749999999</v>
      </c>
      <c r="M23" s="60">
        <v>21.66305998</v>
      </c>
      <c r="N23" s="46">
        <v>23.26739203</v>
      </c>
      <c r="S23" s="20"/>
      <c r="T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</row>
    <row r="24" spans="1:35" x14ac:dyDescent="0.25">
      <c r="A24" s="413" t="s">
        <v>9</v>
      </c>
      <c r="B24" s="413">
        <v>9.7392810399999998</v>
      </c>
      <c r="C24" s="413">
        <v>9.0994726799999999</v>
      </c>
      <c r="D24" s="413">
        <v>6.8615296299999997</v>
      </c>
      <c r="E24" s="413"/>
      <c r="F24" s="413" t="s">
        <v>99</v>
      </c>
      <c r="G24" s="413">
        <v>0.49913911</v>
      </c>
      <c r="H24" s="413">
        <v>0.74484281999999991</v>
      </c>
      <c r="I24" s="413">
        <v>0.47838413000000002</v>
      </c>
      <c r="J24" s="413"/>
      <c r="K24" s="413" t="s">
        <v>177</v>
      </c>
      <c r="L24" s="413">
        <v>34.652818009999997</v>
      </c>
      <c r="M24" s="413">
        <v>5.8803007899999997</v>
      </c>
      <c r="N24" s="419">
        <v>20.152268109999998</v>
      </c>
      <c r="S24" s="20"/>
      <c r="T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</row>
    <row r="25" spans="1:35" x14ac:dyDescent="0.25">
      <c r="A25" s="60" t="s">
        <v>164</v>
      </c>
      <c r="B25" s="60">
        <v>2.0802588600000003</v>
      </c>
      <c r="C25" s="60">
        <v>0.12133935000000001</v>
      </c>
      <c r="D25" s="60">
        <v>5.4193517999999994</v>
      </c>
      <c r="E25" s="60"/>
      <c r="F25" s="60" t="s">
        <v>3</v>
      </c>
      <c r="G25" s="60">
        <v>0</v>
      </c>
      <c r="H25" s="60">
        <v>0.88551586999999998</v>
      </c>
      <c r="I25" s="60">
        <v>0.46563796999999996</v>
      </c>
      <c r="J25" s="60"/>
      <c r="K25" s="60" t="s">
        <v>15</v>
      </c>
      <c r="L25" s="60">
        <v>14.722008070000001</v>
      </c>
      <c r="M25" s="60">
        <v>19.885561510000002</v>
      </c>
      <c r="N25" s="46">
        <v>19.993337710000002</v>
      </c>
      <c r="S25" s="20"/>
      <c r="T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</row>
    <row r="26" spans="1:35" x14ac:dyDescent="0.25">
      <c r="A26" s="413" t="s">
        <v>44</v>
      </c>
      <c r="B26" s="413">
        <v>0</v>
      </c>
      <c r="C26" s="413">
        <v>0.24543412000000001</v>
      </c>
      <c r="D26" s="413">
        <v>5.1650481699999995</v>
      </c>
      <c r="E26" s="413"/>
      <c r="F26" s="413" t="s">
        <v>67</v>
      </c>
      <c r="G26" s="413">
        <v>3.2590019999999997E-2</v>
      </c>
      <c r="H26" s="413">
        <v>8.4084199999999998E-2</v>
      </c>
      <c r="I26" s="413">
        <v>0.46048266999999998</v>
      </c>
      <c r="J26" s="413"/>
      <c r="K26" s="413" t="s">
        <v>36</v>
      </c>
      <c r="L26" s="413">
        <v>25.19004662</v>
      </c>
      <c r="M26" s="413">
        <v>29.905659409999998</v>
      </c>
      <c r="N26" s="419">
        <v>19.949449920000003</v>
      </c>
      <c r="S26" s="20"/>
      <c r="T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</row>
    <row r="27" spans="1:35" x14ac:dyDescent="0.25">
      <c r="A27" s="60" t="s">
        <v>121</v>
      </c>
      <c r="B27" s="60">
        <v>3.4461441699999997</v>
      </c>
      <c r="C27" s="60">
        <v>2.8813152400000002</v>
      </c>
      <c r="D27" s="60">
        <v>4.1636513300000004</v>
      </c>
      <c r="E27" s="60"/>
      <c r="F27" s="60" t="s">
        <v>173</v>
      </c>
      <c r="G27" s="60">
        <v>6.8013700000000002E-3</v>
      </c>
      <c r="H27" s="60">
        <v>0.38610854999999999</v>
      </c>
      <c r="I27" s="60">
        <v>0.37696785999999999</v>
      </c>
      <c r="J27" s="60"/>
      <c r="K27" s="60" t="s">
        <v>48</v>
      </c>
      <c r="L27" s="60">
        <v>75.611206920000001</v>
      </c>
      <c r="M27" s="60">
        <v>17.106957319999999</v>
      </c>
      <c r="N27" s="46">
        <v>18.967338399999999</v>
      </c>
      <c r="S27" s="20"/>
      <c r="T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</row>
    <row r="28" spans="1:35" x14ac:dyDescent="0.25">
      <c r="A28" s="60" t="s">
        <v>55</v>
      </c>
      <c r="B28" s="60">
        <v>38.1170768</v>
      </c>
      <c r="C28" s="60">
        <v>3.22361203</v>
      </c>
      <c r="D28" s="60">
        <v>3.9775687000000004</v>
      </c>
      <c r="E28" s="60"/>
      <c r="F28" s="60" t="s">
        <v>142</v>
      </c>
      <c r="G28" s="60">
        <v>1E-3</v>
      </c>
      <c r="H28" s="60">
        <v>7.6225970000000004E-2</v>
      </c>
      <c r="I28" s="60">
        <v>0.36684431000000001</v>
      </c>
      <c r="J28" s="60"/>
      <c r="K28" s="60" t="s">
        <v>133</v>
      </c>
      <c r="L28" s="60">
        <v>8.1870890000000002E-2</v>
      </c>
      <c r="M28" s="60">
        <v>0.3516512</v>
      </c>
      <c r="N28" s="46">
        <v>16.209243069999999</v>
      </c>
      <c r="S28" s="20"/>
      <c r="T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</row>
    <row r="29" spans="1:35" x14ac:dyDescent="0.25">
      <c r="A29" s="413" t="s">
        <v>140</v>
      </c>
      <c r="B29" s="413">
        <v>12.509740130000001</v>
      </c>
      <c r="C29" s="413">
        <v>1.89193455</v>
      </c>
      <c r="D29" s="413">
        <v>2.8454808700000003</v>
      </c>
      <c r="E29" s="413"/>
      <c r="F29" s="413" t="s">
        <v>83</v>
      </c>
      <c r="G29" s="413">
        <v>4.1306184300000002</v>
      </c>
      <c r="H29" s="413">
        <v>8.0568279999999992E-2</v>
      </c>
      <c r="I29" s="413">
        <v>0.36508210999999996</v>
      </c>
      <c r="J29" s="413"/>
      <c r="K29" s="413" t="s">
        <v>88</v>
      </c>
      <c r="L29" s="413">
        <v>85.609679049999997</v>
      </c>
      <c r="M29" s="413">
        <v>10.68965523</v>
      </c>
      <c r="N29" s="419">
        <v>14.65607638</v>
      </c>
      <c r="S29" s="20"/>
      <c r="T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</row>
    <row r="30" spans="1:35" x14ac:dyDescent="0.25">
      <c r="A30" s="60" t="s">
        <v>58</v>
      </c>
      <c r="B30" s="60">
        <v>2.0715144699999999</v>
      </c>
      <c r="C30" s="60">
        <v>8.8112040099999991</v>
      </c>
      <c r="D30" s="60">
        <v>2.7714666400000003</v>
      </c>
      <c r="E30" s="60"/>
      <c r="F30" s="60" t="s">
        <v>214</v>
      </c>
      <c r="G30" s="60">
        <v>0.46581120000000004</v>
      </c>
      <c r="H30" s="60">
        <v>1.0753652199999999</v>
      </c>
      <c r="I30" s="60">
        <v>0.35470576000000004</v>
      </c>
      <c r="J30" s="60"/>
      <c r="K30" s="60" t="s">
        <v>140</v>
      </c>
      <c r="L30" s="60">
        <v>5.9011277499999997</v>
      </c>
      <c r="M30" s="60">
        <v>1.35411368</v>
      </c>
      <c r="N30" s="46">
        <v>14.30636676</v>
      </c>
      <c r="S30" s="20"/>
      <c r="T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</row>
    <row r="31" spans="1:35" x14ac:dyDescent="0.25">
      <c r="A31" s="413" t="s">
        <v>100</v>
      </c>
      <c r="B31" s="413">
        <v>0.14832775000000001</v>
      </c>
      <c r="C31" s="413">
        <v>6.4693269999999997E-2</v>
      </c>
      <c r="D31" s="413">
        <v>2.4266282599999998</v>
      </c>
      <c r="E31" s="413"/>
      <c r="F31" s="413" t="s">
        <v>215</v>
      </c>
      <c r="G31" s="413">
        <v>0.24466988000000001</v>
      </c>
      <c r="H31" s="413">
        <v>0.29884648999999996</v>
      </c>
      <c r="I31" s="413">
        <v>0.34436114000000001</v>
      </c>
      <c r="J31" s="413"/>
      <c r="K31" s="413" t="s">
        <v>27</v>
      </c>
      <c r="L31" s="413">
        <v>3.8471560400000002</v>
      </c>
      <c r="M31" s="413">
        <v>12.23722897</v>
      </c>
      <c r="N31" s="419">
        <v>11.24877622</v>
      </c>
      <c r="S31" s="20"/>
      <c r="T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</row>
    <row r="32" spans="1:35" x14ac:dyDescent="0.25">
      <c r="A32" s="60" t="s">
        <v>158</v>
      </c>
      <c r="B32" s="60">
        <v>4.5786935999999994</v>
      </c>
      <c r="C32" s="60">
        <v>0.20620160999999998</v>
      </c>
      <c r="D32" s="60">
        <v>2.35456222</v>
      </c>
      <c r="E32" s="60"/>
      <c r="F32" s="60" t="s">
        <v>48</v>
      </c>
      <c r="G32" s="60">
        <v>1.69840959</v>
      </c>
      <c r="H32" s="60">
        <v>0.36459893999999998</v>
      </c>
      <c r="I32" s="60">
        <v>0.31043619</v>
      </c>
      <c r="J32" s="60"/>
      <c r="K32" s="60" t="s">
        <v>178</v>
      </c>
      <c r="L32" s="60">
        <v>5.1560253600000001</v>
      </c>
      <c r="M32" s="60">
        <v>4.9530625800000001</v>
      </c>
      <c r="N32" s="46">
        <v>10.572910140000001</v>
      </c>
      <c r="S32" s="20"/>
      <c r="T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</row>
    <row r="33" spans="1:35" x14ac:dyDescent="0.25">
      <c r="A33" s="413" t="s">
        <v>79</v>
      </c>
      <c r="B33" s="413">
        <v>1.3735417599999999</v>
      </c>
      <c r="C33" s="413">
        <v>0.17614048999999998</v>
      </c>
      <c r="D33" s="413">
        <v>2.3339876299999998</v>
      </c>
      <c r="E33" s="413"/>
      <c r="F33" s="413" t="s">
        <v>58</v>
      </c>
      <c r="G33" s="413">
        <v>1.7839000000000001E-2</v>
      </c>
      <c r="H33" s="413">
        <v>8.7554989999999999E-2</v>
      </c>
      <c r="I33" s="413">
        <v>0.29079252</v>
      </c>
      <c r="J33" s="413"/>
      <c r="K33" s="413" t="s">
        <v>80</v>
      </c>
      <c r="L33" s="413">
        <v>3.92638255</v>
      </c>
      <c r="M33" s="413">
        <v>8.4612873299999993</v>
      </c>
      <c r="N33" s="419">
        <v>10.348131539999999</v>
      </c>
      <c r="S33" s="20"/>
      <c r="T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</row>
    <row r="34" spans="1:35" x14ac:dyDescent="0.25">
      <c r="A34" s="60" t="s">
        <v>163</v>
      </c>
      <c r="B34" s="60">
        <v>8.0767931399999995</v>
      </c>
      <c r="C34" s="60">
        <v>0.61177064000000003</v>
      </c>
      <c r="D34" s="60">
        <v>2.2032159399999998</v>
      </c>
      <c r="E34" s="60"/>
      <c r="F34" s="60" t="s">
        <v>135</v>
      </c>
      <c r="G34" s="60">
        <v>4.3167185699999999</v>
      </c>
      <c r="H34" s="60">
        <v>0.55886049000000004</v>
      </c>
      <c r="I34" s="60">
        <v>0.28233195</v>
      </c>
      <c r="J34" s="60"/>
      <c r="K34" s="60" t="s">
        <v>97</v>
      </c>
      <c r="L34" s="60">
        <v>8.2034218800000005</v>
      </c>
      <c r="M34" s="60">
        <v>5.4861224699999998</v>
      </c>
      <c r="N34" s="46">
        <v>9.6196337300000003</v>
      </c>
      <c r="S34" s="20"/>
      <c r="T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</row>
    <row r="35" spans="1:35" x14ac:dyDescent="0.25">
      <c r="A35" s="60" t="s">
        <v>101</v>
      </c>
      <c r="B35" s="60">
        <v>0</v>
      </c>
      <c r="C35" s="60">
        <v>7.5238810000000003E-2</v>
      </c>
      <c r="D35" s="60">
        <v>2.0807999499999998</v>
      </c>
      <c r="E35" s="60"/>
      <c r="F35" s="60" t="s">
        <v>32</v>
      </c>
      <c r="G35" s="60">
        <v>0.31785137000000002</v>
      </c>
      <c r="H35" s="60">
        <v>0.35058687999999999</v>
      </c>
      <c r="I35" s="60">
        <v>0.28100053000000003</v>
      </c>
      <c r="J35" s="60"/>
      <c r="K35" s="60" t="s">
        <v>68</v>
      </c>
      <c r="L35" s="60">
        <v>0</v>
      </c>
      <c r="M35" s="60">
        <v>5.5099999999999995E-4</v>
      </c>
      <c r="N35" s="46">
        <v>9.1888562899999986</v>
      </c>
      <c r="S35" s="20"/>
      <c r="T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</row>
    <row r="36" spans="1:35" x14ac:dyDescent="0.25">
      <c r="A36" s="413" t="s">
        <v>30</v>
      </c>
      <c r="B36" s="413">
        <v>2.1760104399999998</v>
      </c>
      <c r="C36" s="413">
        <v>5.515279E-2</v>
      </c>
      <c r="D36" s="413">
        <v>1.9621653799999998</v>
      </c>
      <c r="E36" s="413"/>
      <c r="F36" s="413" t="s">
        <v>140</v>
      </c>
      <c r="G36" s="413">
        <v>0.29000281999999999</v>
      </c>
      <c r="H36" s="413">
        <v>0.64194781000000001</v>
      </c>
      <c r="I36" s="413">
        <v>0.26002122999999999</v>
      </c>
      <c r="J36" s="413"/>
      <c r="K36" s="413" t="s">
        <v>63</v>
      </c>
      <c r="L36" s="413">
        <v>0.81569385999999999</v>
      </c>
      <c r="M36" s="413">
        <v>5.3205048799999997</v>
      </c>
      <c r="N36" s="419">
        <v>7.63869372</v>
      </c>
      <c r="S36" s="20"/>
      <c r="T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</row>
    <row r="37" spans="1:35" x14ac:dyDescent="0.25">
      <c r="A37" s="60" t="s">
        <v>138</v>
      </c>
      <c r="B37" s="60">
        <v>5.6842965599999999</v>
      </c>
      <c r="C37" s="60">
        <v>6.9846392399999999</v>
      </c>
      <c r="D37" s="60">
        <v>1.9175396299999998</v>
      </c>
      <c r="E37" s="60"/>
      <c r="F37" s="60" t="s">
        <v>31</v>
      </c>
      <c r="G37" s="60">
        <v>0.29792200000000002</v>
      </c>
      <c r="H37" s="60">
        <v>9.2690999999999996E-2</v>
      </c>
      <c r="I37" s="60">
        <v>0.23483999999999999</v>
      </c>
      <c r="J37" s="60"/>
      <c r="K37" s="60" t="s">
        <v>117</v>
      </c>
      <c r="L37" s="60">
        <v>0.31440790999999996</v>
      </c>
      <c r="M37" s="60">
        <v>2.2947338099999999</v>
      </c>
      <c r="N37" s="46">
        <v>7.5605024900000002</v>
      </c>
      <c r="S37" s="20"/>
      <c r="T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</row>
    <row r="38" spans="1:35" x14ac:dyDescent="0.25">
      <c r="A38" s="413" t="s">
        <v>161</v>
      </c>
      <c r="B38" s="413">
        <v>2.1177814500000003</v>
      </c>
      <c r="C38" s="413">
        <v>4.2999050000000004E-2</v>
      </c>
      <c r="D38" s="413">
        <v>1.6224584799999999</v>
      </c>
      <c r="E38" s="413"/>
      <c r="F38" s="413" t="s">
        <v>146</v>
      </c>
      <c r="G38" s="413">
        <v>0.63819150000000002</v>
      </c>
      <c r="H38" s="413">
        <v>0.42022827000000001</v>
      </c>
      <c r="I38" s="413">
        <v>0.1953606</v>
      </c>
      <c r="J38" s="413"/>
      <c r="K38" s="413" t="s">
        <v>143</v>
      </c>
      <c r="L38" s="413">
        <v>3.2673689999999998E-2</v>
      </c>
      <c r="M38" s="413">
        <v>0.18225467000000001</v>
      </c>
      <c r="N38" s="419">
        <v>7.5159400099999996</v>
      </c>
      <c r="S38" s="20"/>
      <c r="T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</row>
    <row r="39" spans="1:35" x14ac:dyDescent="0.25">
      <c r="A39" s="60" t="s">
        <v>133</v>
      </c>
      <c r="B39" s="60">
        <v>0.72532700999999999</v>
      </c>
      <c r="C39" s="60">
        <v>0.30231076000000001</v>
      </c>
      <c r="D39" s="60">
        <v>1.5747300500000001</v>
      </c>
      <c r="E39" s="60"/>
      <c r="F39" s="60" t="s">
        <v>127</v>
      </c>
      <c r="G39" s="60">
        <v>8.8021000000000009E-4</v>
      </c>
      <c r="H39" s="60">
        <v>4.9348300000000003E-3</v>
      </c>
      <c r="I39" s="60">
        <v>0.1676039</v>
      </c>
      <c r="J39" s="60"/>
      <c r="K39" s="60" t="s">
        <v>104</v>
      </c>
      <c r="L39" s="60">
        <v>4.8612821200000003</v>
      </c>
      <c r="M39" s="60">
        <v>5.4294367499999998</v>
      </c>
      <c r="N39" s="46">
        <v>7.1350886900000008</v>
      </c>
      <c r="S39" s="20"/>
      <c r="T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</row>
    <row r="40" spans="1:35" x14ac:dyDescent="0.25">
      <c r="A40" s="413" t="s">
        <v>188</v>
      </c>
      <c r="B40" s="413">
        <v>4.2164899999999998E-2</v>
      </c>
      <c r="C40" s="413">
        <v>4.5293279999999998E-2</v>
      </c>
      <c r="D40" s="413">
        <v>1.5491811799999999</v>
      </c>
      <c r="E40" s="413"/>
      <c r="F40" s="413" t="s">
        <v>97</v>
      </c>
      <c r="G40" s="413">
        <v>0.12091536</v>
      </c>
      <c r="H40" s="413">
        <v>0.17097092999999999</v>
      </c>
      <c r="I40" s="413">
        <v>0.15481641000000002</v>
      </c>
      <c r="J40" s="413"/>
      <c r="K40" s="413" t="s">
        <v>172</v>
      </c>
      <c r="L40" s="413">
        <v>0.24371851999999999</v>
      </c>
      <c r="M40" s="413">
        <v>4.5922706699999996</v>
      </c>
      <c r="N40" s="419">
        <v>6.9051296399999993</v>
      </c>
      <c r="S40" s="20"/>
      <c r="T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</row>
    <row r="41" spans="1:35" x14ac:dyDescent="0.25">
      <c r="A41" s="60" t="s">
        <v>14</v>
      </c>
      <c r="B41" s="60">
        <v>0</v>
      </c>
      <c r="C41" s="60">
        <v>0</v>
      </c>
      <c r="D41" s="60">
        <v>1.39210868</v>
      </c>
      <c r="E41" s="60"/>
      <c r="F41" s="60" t="s">
        <v>18</v>
      </c>
      <c r="G41" s="60">
        <v>0</v>
      </c>
      <c r="H41" s="60">
        <v>0</v>
      </c>
      <c r="I41" s="60">
        <v>0.1031475</v>
      </c>
      <c r="J41" s="60"/>
      <c r="K41" s="60" t="s">
        <v>58</v>
      </c>
      <c r="L41" s="60">
        <v>2.8330842000000001</v>
      </c>
      <c r="M41" s="60">
        <v>2.4731687500000001</v>
      </c>
      <c r="N41" s="46">
        <v>6.76478891</v>
      </c>
      <c r="S41" s="20"/>
      <c r="T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</row>
    <row r="42" spans="1:35" x14ac:dyDescent="0.25">
      <c r="A42" s="60" t="s">
        <v>134</v>
      </c>
      <c r="B42" s="60">
        <v>4.6446319999999996</v>
      </c>
      <c r="C42" s="60">
        <v>0.96940601000000004</v>
      </c>
      <c r="D42" s="60">
        <v>1.3528241299999999</v>
      </c>
      <c r="E42" s="60"/>
      <c r="F42" s="60" t="s">
        <v>166</v>
      </c>
      <c r="G42" s="60">
        <v>0.21604095000000001</v>
      </c>
      <c r="H42" s="60">
        <v>0.71242212999999999</v>
      </c>
      <c r="I42" s="60">
        <v>0.10016406</v>
      </c>
      <c r="J42" s="60"/>
      <c r="K42" s="60" t="s">
        <v>10</v>
      </c>
      <c r="L42" s="60">
        <v>13.882634900000001</v>
      </c>
      <c r="M42" s="60">
        <v>9.5353944300000002</v>
      </c>
      <c r="N42" s="46">
        <v>6.2517679199999998</v>
      </c>
      <c r="S42" s="20"/>
      <c r="T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</row>
    <row r="43" spans="1:35" x14ac:dyDescent="0.25">
      <c r="A43" s="413" t="s">
        <v>11</v>
      </c>
      <c r="B43" s="413">
        <v>5.6306780000000001E-2</v>
      </c>
      <c r="C43" s="413">
        <v>0.60931000000000002</v>
      </c>
      <c r="D43" s="413">
        <v>1.266416</v>
      </c>
      <c r="E43" s="413"/>
      <c r="F43" s="413" t="s">
        <v>9</v>
      </c>
      <c r="G43" s="413">
        <v>0</v>
      </c>
      <c r="H43" s="413">
        <v>0</v>
      </c>
      <c r="I43" s="413">
        <v>7.7665999999999999E-2</v>
      </c>
      <c r="J43" s="413"/>
      <c r="K43" s="413" t="s">
        <v>116</v>
      </c>
      <c r="L43" s="413">
        <v>9.1472700000000004E-2</v>
      </c>
      <c r="M43" s="413">
        <v>5.8808239499999999</v>
      </c>
      <c r="N43" s="419">
        <v>5.9030479600000003</v>
      </c>
      <c r="S43" s="20"/>
      <c r="T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</row>
    <row r="44" spans="1:35" x14ac:dyDescent="0.25">
      <c r="A44" s="60" t="s">
        <v>146</v>
      </c>
      <c r="B44" s="60">
        <v>29.457670499999999</v>
      </c>
      <c r="C44" s="60">
        <v>0.79208688999999999</v>
      </c>
      <c r="D44" s="60">
        <v>1.2295863300000001</v>
      </c>
      <c r="E44" s="60"/>
      <c r="F44" s="60" t="s">
        <v>143</v>
      </c>
      <c r="G44" s="60">
        <v>0</v>
      </c>
      <c r="H44" s="60">
        <v>8.9791299999999984E-3</v>
      </c>
      <c r="I44" s="60">
        <v>6.5798289999999995E-2</v>
      </c>
      <c r="J44" s="60"/>
      <c r="K44" s="60" t="s">
        <v>45</v>
      </c>
      <c r="L44" s="60">
        <v>3.1828555000000001</v>
      </c>
      <c r="M44" s="60">
        <v>2.6531264700000001</v>
      </c>
      <c r="N44" s="46">
        <v>5.7339483800000002</v>
      </c>
      <c r="S44" s="20"/>
      <c r="T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</row>
    <row r="45" spans="1:35" x14ac:dyDescent="0.25">
      <c r="A45" s="413" t="s">
        <v>76</v>
      </c>
      <c r="B45" s="413">
        <v>1.7967969799999999</v>
      </c>
      <c r="C45" s="413">
        <v>0.82139187000000002</v>
      </c>
      <c r="D45" s="413">
        <v>1.0647858300000002</v>
      </c>
      <c r="E45" s="413"/>
      <c r="F45" s="413" t="s">
        <v>30</v>
      </c>
      <c r="G45" s="413">
        <v>0.54147265</v>
      </c>
      <c r="H45" s="413">
        <v>3.421188E-2</v>
      </c>
      <c r="I45" s="413">
        <v>5.897583E-2</v>
      </c>
      <c r="J45" s="413"/>
      <c r="K45" s="413" t="s">
        <v>146</v>
      </c>
      <c r="L45" s="413">
        <v>30.07597706</v>
      </c>
      <c r="M45" s="413">
        <v>31.25073575</v>
      </c>
      <c r="N45" s="419">
        <v>5.1764404000000006</v>
      </c>
      <c r="S45" s="20"/>
      <c r="T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</row>
    <row r="46" spans="1:35" x14ac:dyDescent="0.25">
      <c r="A46" s="60" t="s">
        <v>159</v>
      </c>
      <c r="B46" s="60">
        <v>0.64427864000000001</v>
      </c>
      <c r="C46" s="60">
        <v>4.3021099999999996E-3</v>
      </c>
      <c r="D46" s="60">
        <v>1.03886711</v>
      </c>
      <c r="E46" s="60"/>
      <c r="F46" s="60" t="s">
        <v>174</v>
      </c>
      <c r="G46" s="60">
        <v>7.7278500000000005E-3</v>
      </c>
      <c r="H46" s="60">
        <v>0.11084772999999999</v>
      </c>
      <c r="I46" s="60">
        <v>5.2907999999999997E-2</v>
      </c>
      <c r="J46" s="60"/>
      <c r="K46" s="60" t="s">
        <v>173</v>
      </c>
      <c r="L46" s="60">
        <v>1.3153823</v>
      </c>
      <c r="M46" s="60">
        <v>1.6625854</v>
      </c>
      <c r="N46" s="46">
        <v>4.0238099099999998</v>
      </c>
      <c r="S46" s="20"/>
      <c r="T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</row>
    <row r="47" spans="1:35" x14ac:dyDescent="0.25">
      <c r="A47" s="413" t="s">
        <v>102</v>
      </c>
      <c r="B47" s="413">
        <v>1.80853095</v>
      </c>
      <c r="C47" s="413">
        <v>1.07462339</v>
      </c>
      <c r="D47" s="413">
        <v>0.98781396999999993</v>
      </c>
      <c r="E47" s="413"/>
      <c r="F47" s="413" t="s">
        <v>172</v>
      </c>
      <c r="G47" s="413">
        <v>0.23278014999999999</v>
      </c>
      <c r="H47" s="413">
        <v>0.40952435999999998</v>
      </c>
      <c r="I47" s="413">
        <v>5.2581360000000001E-2</v>
      </c>
      <c r="J47" s="413"/>
      <c r="K47" s="413" t="s">
        <v>151</v>
      </c>
      <c r="L47" s="413">
        <v>2.1967504999999998</v>
      </c>
      <c r="M47" s="413">
        <v>0.58767935999999998</v>
      </c>
      <c r="N47" s="419">
        <v>3.82610779</v>
      </c>
      <c r="S47" s="20"/>
      <c r="T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</row>
    <row r="48" spans="1:35" x14ac:dyDescent="0.25">
      <c r="A48" s="60" t="s">
        <v>211</v>
      </c>
      <c r="B48" s="60">
        <v>2.18356598</v>
      </c>
      <c r="C48" s="60">
        <v>2.7699292400000002</v>
      </c>
      <c r="D48" s="60">
        <v>0.54811825999999997</v>
      </c>
      <c r="E48" s="60"/>
      <c r="F48" s="60" t="s">
        <v>167</v>
      </c>
      <c r="G48" s="60">
        <v>0.18573385000000001</v>
      </c>
      <c r="H48" s="60">
        <v>0.32607607</v>
      </c>
      <c r="I48" s="60">
        <v>4.4719389999999998E-2</v>
      </c>
      <c r="J48" s="60"/>
      <c r="K48" s="60" t="s">
        <v>159</v>
      </c>
      <c r="L48" s="60">
        <v>3.45093388</v>
      </c>
      <c r="M48" s="60">
        <v>1.83034673</v>
      </c>
      <c r="N48" s="46">
        <v>3.6816512499999998</v>
      </c>
      <c r="S48" s="20"/>
      <c r="T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1:35" x14ac:dyDescent="0.25">
      <c r="A49" s="60" t="s">
        <v>95</v>
      </c>
      <c r="B49" s="60">
        <v>0.93002847</v>
      </c>
      <c r="C49" s="60">
        <v>0.62494548999999999</v>
      </c>
      <c r="D49" s="60">
        <v>0.49192307000000002</v>
      </c>
      <c r="E49" s="60"/>
      <c r="F49" s="60" t="s">
        <v>82</v>
      </c>
      <c r="G49" s="60">
        <v>3.8400000000000001E-3</v>
      </c>
      <c r="H49" s="60">
        <v>0.10646556</v>
      </c>
      <c r="I49" s="60">
        <v>3.9254999999999998E-2</v>
      </c>
      <c r="J49" s="60"/>
      <c r="K49" s="60" t="s">
        <v>113</v>
      </c>
      <c r="L49" s="60">
        <v>125.05260516</v>
      </c>
      <c r="M49" s="60">
        <v>4.0389767299999999</v>
      </c>
      <c r="N49" s="46">
        <v>3.4465111500000001</v>
      </c>
      <c r="S49" s="20"/>
      <c r="T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</row>
    <row r="50" spans="1:35" x14ac:dyDescent="0.25">
      <c r="A50" s="413" t="s">
        <v>135</v>
      </c>
      <c r="B50" s="413">
        <v>7.2821167000000004</v>
      </c>
      <c r="C50" s="413">
        <v>0.18359655</v>
      </c>
      <c r="D50" s="413">
        <v>0.48374348</v>
      </c>
      <c r="E50" s="413"/>
      <c r="F50" s="413" t="s">
        <v>24</v>
      </c>
      <c r="G50" s="413">
        <v>0.242363</v>
      </c>
      <c r="H50" s="413">
        <v>2.40818E-2</v>
      </c>
      <c r="I50" s="413">
        <v>3.7075730000000001E-2</v>
      </c>
      <c r="J50" s="413"/>
      <c r="K50" s="413" t="s">
        <v>157</v>
      </c>
      <c r="L50" s="413">
        <v>0.8010711800000001</v>
      </c>
      <c r="M50" s="413">
        <v>1.0908779199999998</v>
      </c>
      <c r="N50" s="419">
        <v>3.0913636200000001</v>
      </c>
      <c r="S50" s="20"/>
      <c r="T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 spans="1:35" x14ac:dyDescent="0.25">
      <c r="A51" s="60" t="s">
        <v>151</v>
      </c>
      <c r="B51" s="60">
        <v>0.28354840999999997</v>
      </c>
      <c r="C51" s="60">
        <v>1.1650995500000001</v>
      </c>
      <c r="D51" s="60">
        <v>0.45175109000000002</v>
      </c>
      <c r="E51" s="60"/>
      <c r="F51" s="60" t="s">
        <v>212</v>
      </c>
      <c r="G51" s="60">
        <v>3.0000000000000001E-3</v>
      </c>
      <c r="H51" s="60">
        <v>2.3461509999999998E-2</v>
      </c>
      <c r="I51" s="60">
        <v>3.7012349999999999E-2</v>
      </c>
      <c r="J51" s="60"/>
      <c r="K51" s="60" t="s">
        <v>9</v>
      </c>
      <c r="L51" s="60">
        <v>3.5580177499999999</v>
      </c>
      <c r="M51" s="60">
        <v>4.7829316799999999</v>
      </c>
      <c r="N51" s="46">
        <v>3.07243976</v>
      </c>
      <c r="S51" s="20"/>
      <c r="T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</row>
    <row r="52" spans="1:35" x14ac:dyDescent="0.25">
      <c r="A52" s="413" t="s">
        <v>185</v>
      </c>
      <c r="B52" s="413">
        <v>0.44463396999999999</v>
      </c>
      <c r="C52" s="413">
        <v>0</v>
      </c>
      <c r="D52" s="413">
        <v>0.44576199999999999</v>
      </c>
      <c r="E52" s="413"/>
      <c r="F52" s="413" t="s">
        <v>134</v>
      </c>
      <c r="G52" s="413">
        <v>9.1390470000000001E-2</v>
      </c>
      <c r="H52" s="413">
        <v>0.13295055</v>
      </c>
      <c r="I52" s="413">
        <v>3.2909580000000001E-2</v>
      </c>
      <c r="J52" s="413"/>
      <c r="K52" s="413" t="s">
        <v>189</v>
      </c>
      <c r="L52" s="413">
        <v>2.3621790499999999</v>
      </c>
      <c r="M52" s="413">
        <v>6.5877378099999993</v>
      </c>
      <c r="N52" s="419">
        <v>2.9020126299999998</v>
      </c>
      <c r="S52" s="20"/>
      <c r="T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</row>
    <row r="53" spans="1:35" x14ac:dyDescent="0.25">
      <c r="A53" s="60" t="s">
        <v>178</v>
      </c>
      <c r="B53" s="60">
        <v>11.25670633</v>
      </c>
      <c r="C53" s="60">
        <v>4.5711730000000006E-2</v>
      </c>
      <c r="D53" s="60">
        <v>0.40601371999999997</v>
      </c>
      <c r="E53" s="60"/>
      <c r="F53" s="60" t="s">
        <v>80</v>
      </c>
      <c r="G53" s="60">
        <v>2.0596320000000001E-2</v>
      </c>
      <c r="H53" s="60">
        <v>0.10944958</v>
      </c>
      <c r="I53" s="60">
        <v>3.2163810000000001E-2</v>
      </c>
      <c r="J53" s="60"/>
      <c r="K53" s="60" t="s">
        <v>202</v>
      </c>
      <c r="L53" s="60">
        <v>0.57530404000000002</v>
      </c>
      <c r="M53" s="60">
        <v>1.1255333799999998</v>
      </c>
      <c r="N53" s="46">
        <v>2.8291110900000001</v>
      </c>
      <c r="S53" s="20"/>
      <c r="T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</row>
    <row r="54" spans="1:35" x14ac:dyDescent="0.25">
      <c r="A54" s="413" t="s">
        <v>89</v>
      </c>
      <c r="B54" s="413">
        <v>0.33986991999999999</v>
      </c>
      <c r="C54" s="413">
        <v>0.2178582</v>
      </c>
      <c r="D54" s="413">
        <v>0.28941259999999996</v>
      </c>
      <c r="E54" s="413"/>
      <c r="F54" s="413" t="s">
        <v>102</v>
      </c>
      <c r="G54" s="413">
        <v>0.25658089000000001</v>
      </c>
      <c r="H54" s="413">
        <v>0.34835740999999998</v>
      </c>
      <c r="I54" s="413">
        <v>3.0289150000000001E-2</v>
      </c>
      <c r="J54" s="413"/>
      <c r="K54" s="413" t="s">
        <v>188</v>
      </c>
      <c r="L54" s="413">
        <v>0.23438138</v>
      </c>
      <c r="M54" s="413">
        <v>0.67268373999999997</v>
      </c>
      <c r="N54" s="419">
        <v>2.75108664</v>
      </c>
      <c r="S54" s="20"/>
      <c r="T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1:35" x14ac:dyDescent="0.25">
      <c r="A55" s="60" t="s">
        <v>84</v>
      </c>
      <c r="B55" s="60">
        <v>1.8518788400000001</v>
      </c>
      <c r="C55" s="60">
        <v>0.16811728000000001</v>
      </c>
      <c r="D55" s="60">
        <v>0.27216035999999999</v>
      </c>
      <c r="E55" s="60"/>
      <c r="F55" s="60" t="s">
        <v>161</v>
      </c>
      <c r="G55" s="60">
        <v>1.0141659699999999</v>
      </c>
      <c r="H55" s="60">
        <v>0.13050514999999999</v>
      </c>
      <c r="I55" s="60">
        <v>2.7742419999999997E-2</v>
      </c>
      <c r="J55" s="60"/>
      <c r="K55" s="60" t="s">
        <v>131</v>
      </c>
      <c r="L55" s="60">
        <v>6.1757324699999998</v>
      </c>
      <c r="M55" s="60">
        <v>1.85323119</v>
      </c>
      <c r="N55" s="46">
        <v>2.4684173899999999</v>
      </c>
      <c r="S55" s="20"/>
      <c r="T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</row>
    <row r="56" spans="1:35" x14ac:dyDescent="0.25">
      <c r="A56" s="60" t="s">
        <v>39</v>
      </c>
      <c r="B56" s="60">
        <v>0</v>
      </c>
      <c r="C56" s="60">
        <v>5.9897180000000001E-2</v>
      </c>
      <c r="D56" s="60">
        <v>0.25620137999999998</v>
      </c>
      <c r="E56" s="60"/>
      <c r="F56" s="60" t="s">
        <v>207</v>
      </c>
      <c r="G56" s="60">
        <v>0.18209496</v>
      </c>
      <c r="H56" s="60">
        <v>1.412106E-2</v>
      </c>
      <c r="I56" s="60">
        <v>2.5486999999999999E-2</v>
      </c>
      <c r="J56" s="60"/>
      <c r="K56" s="60" t="s">
        <v>162</v>
      </c>
      <c r="L56" s="60">
        <v>0.10296617999999999</v>
      </c>
      <c r="M56" s="60">
        <v>1.2297071399999999</v>
      </c>
      <c r="N56" s="46">
        <v>2.4086503800000001</v>
      </c>
      <c r="S56" s="20"/>
      <c r="T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</row>
    <row r="57" spans="1:35" x14ac:dyDescent="0.25">
      <c r="A57" s="413" t="s">
        <v>17</v>
      </c>
      <c r="B57" s="413">
        <v>0</v>
      </c>
      <c r="C57" s="413">
        <v>15.58782952</v>
      </c>
      <c r="D57" s="413">
        <v>0.15505044000000001</v>
      </c>
      <c r="E57" s="413"/>
      <c r="F57" s="413" t="s">
        <v>197</v>
      </c>
      <c r="G57" s="413">
        <v>0.16246340000000001</v>
      </c>
      <c r="H57" s="413">
        <v>2.3883000000000001E-2</v>
      </c>
      <c r="I57" s="413">
        <v>2.2835000000000001E-2</v>
      </c>
      <c r="J57" s="413"/>
      <c r="K57" s="413" t="s">
        <v>176</v>
      </c>
      <c r="L57" s="413">
        <v>1.02654332</v>
      </c>
      <c r="M57" s="413">
        <v>2.85309787</v>
      </c>
      <c r="N57" s="419">
        <v>2.3582710699999998</v>
      </c>
      <c r="S57" s="20"/>
      <c r="T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</row>
    <row r="58" spans="1:35" x14ac:dyDescent="0.25">
      <c r="A58" s="60" t="s">
        <v>28</v>
      </c>
      <c r="B58" s="60">
        <v>0</v>
      </c>
      <c r="C58" s="60">
        <v>0</v>
      </c>
      <c r="D58" s="60">
        <v>0.15188177999999999</v>
      </c>
      <c r="E58" s="60"/>
      <c r="F58" s="60" t="s">
        <v>198</v>
      </c>
      <c r="G58" s="60">
        <v>0.11250378</v>
      </c>
      <c r="H58" s="60">
        <v>0.12124816000000001</v>
      </c>
      <c r="I58" s="60">
        <v>1.755845E-2</v>
      </c>
      <c r="J58" s="60"/>
      <c r="K58" s="60" t="s">
        <v>118</v>
      </c>
      <c r="L58" s="60">
        <v>0.69847839</v>
      </c>
      <c r="M58" s="60">
        <v>1.40110354</v>
      </c>
      <c r="N58" s="46">
        <v>2.1307848199999997</v>
      </c>
      <c r="S58" s="20"/>
      <c r="T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</row>
    <row r="59" spans="1:35" x14ac:dyDescent="0.25">
      <c r="A59" s="413" t="s">
        <v>171</v>
      </c>
      <c r="B59" s="413">
        <v>0.43032540999999996</v>
      </c>
      <c r="C59" s="413">
        <v>0</v>
      </c>
      <c r="D59" s="413">
        <v>0.13808426000000001</v>
      </c>
      <c r="E59" s="413"/>
      <c r="F59" s="413" t="s">
        <v>165</v>
      </c>
      <c r="G59" s="413">
        <v>6.8956699999999996E-2</v>
      </c>
      <c r="H59" s="413">
        <v>2.1011889999999998E-2</v>
      </c>
      <c r="I59" s="413">
        <v>1.709834E-2</v>
      </c>
      <c r="J59" s="413"/>
      <c r="K59" s="413" t="s">
        <v>40</v>
      </c>
      <c r="L59" s="413">
        <v>3.2627562000000001</v>
      </c>
      <c r="M59" s="413">
        <v>2.6629235000000002</v>
      </c>
      <c r="N59" s="419">
        <v>2.1214780000000002</v>
      </c>
      <c r="S59" s="20"/>
      <c r="T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</row>
    <row r="60" spans="1:35" x14ac:dyDescent="0.25">
      <c r="A60" s="60" t="s">
        <v>81</v>
      </c>
      <c r="B60" s="60">
        <v>4.0710650000000001E-2</v>
      </c>
      <c r="C60" s="60">
        <v>1.8202429999999999E-2</v>
      </c>
      <c r="D60" s="60">
        <v>0.12163319</v>
      </c>
      <c r="E60" s="60"/>
      <c r="F60" s="60" t="s">
        <v>164</v>
      </c>
      <c r="G60" s="60">
        <v>1.9588680000000001E-2</v>
      </c>
      <c r="H60" s="60">
        <v>1.4282709999999999E-2</v>
      </c>
      <c r="I60" s="60">
        <v>1.6420360000000002E-2</v>
      </c>
      <c r="J60" s="60"/>
      <c r="K60" s="60" t="s">
        <v>171</v>
      </c>
      <c r="L60" s="60">
        <v>2.0849286199999999</v>
      </c>
      <c r="M60" s="60">
        <v>0.79597421999999995</v>
      </c>
      <c r="N60" s="46">
        <v>2.0074016000000001</v>
      </c>
      <c r="S60" s="20"/>
      <c r="T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 spans="1:35" x14ac:dyDescent="0.25">
      <c r="A61" s="413" t="s">
        <v>195</v>
      </c>
      <c r="B61" s="413">
        <v>0.15611508999999998</v>
      </c>
      <c r="C61" s="413">
        <v>0.13412091000000001</v>
      </c>
      <c r="D61" s="413">
        <v>9.8613179999999995E-2</v>
      </c>
      <c r="E61" s="413"/>
      <c r="F61" s="413" t="s">
        <v>159</v>
      </c>
      <c r="G61" s="413">
        <v>3.7952800000000003E-3</v>
      </c>
      <c r="H61" s="413">
        <v>2.3999999999999998E-3</v>
      </c>
      <c r="I61" s="413">
        <v>1.4280940000000001E-2</v>
      </c>
      <c r="J61" s="413"/>
      <c r="K61" s="413" t="s">
        <v>50</v>
      </c>
      <c r="L61" s="413">
        <v>1.5680302099999999</v>
      </c>
      <c r="M61" s="413">
        <v>2.4206834399999999</v>
      </c>
      <c r="N61" s="419">
        <v>1.86049394</v>
      </c>
      <c r="S61" s="20"/>
      <c r="T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</row>
    <row r="62" spans="1:35" x14ac:dyDescent="0.25">
      <c r="A62" s="60" t="s">
        <v>202</v>
      </c>
      <c r="B62" s="60">
        <v>7.338476</v>
      </c>
      <c r="C62" s="60">
        <v>3.7487694199999999</v>
      </c>
      <c r="D62" s="60">
        <v>9.1694440000000002E-2</v>
      </c>
      <c r="E62" s="60"/>
      <c r="F62" s="60" t="s">
        <v>180</v>
      </c>
      <c r="G62" s="60">
        <v>3.0000000000000001E-5</v>
      </c>
      <c r="H62" s="60">
        <v>1.6549169999999998E-2</v>
      </c>
      <c r="I62" s="60">
        <v>1.2225649999999999E-2</v>
      </c>
      <c r="J62" s="60"/>
      <c r="K62" s="60" t="s">
        <v>135</v>
      </c>
      <c r="L62" s="60">
        <v>7.2593525099999994</v>
      </c>
      <c r="M62" s="60">
        <v>1.2073664099999999</v>
      </c>
      <c r="N62" s="46">
        <v>1.7576236699999999</v>
      </c>
      <c r="S62" s="20"/>
      <c r="T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</row>
    <row r="63" spans="1:35" x14ac:dyDescent="0.25">
      <c r="A63" s="60" t="s">
        <v>173</v>
      </c>
      <c r="B63" s="60">
        <v>2.4649749999999999</v>
      </c>
      <c r="C63" s="60">
        <v>0.49346977000000003</v>
      </c>
      <c r="D63" s="60">
        <v>8.2838399999999993E-2</v>
      </c>
      <c r="E63" s="60"/>
      <c r="F63" s="60" t="s">
        <v>114</v>
      </c>
      <c r="G63" s="60">
        <v>5.2350000000000001E-2</v>
      </c>
      <c r="H63" s="60">
        <v>5.2223350000000002E-2</v>
      </c>
      <c r="I63" s="60">
        <v>1.197E-2</v>
      </c>
      <c r="J63" s="60"/>
      <c r="K63" s="60" t="s">
        <v>174</v>
      </c>
      <c r="L63" s="60">
        <v>1.6456485700000001</v>
      </c>
      <c r="M63" s="60">
        <v>1.3222611799999999</v>
      </c>
      <c r="N63" s="46">
        <v>1.68848541</v>
      </c>
      <c r="S63" s="20"/>
      <c r="T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</row>
    <row r="64" spans="1:35" x14ac:dyDescent="0.25">
      <c r="A64" s="413" t="s">
        <v>31</v>
      </c>
      <c r="B64" s="413">
        <v>2.3656839999999998E-2</v>
      </c>
      <c r="C64" s="413">
        <v>3.3356249999999997E-2</v>
      </c>
      <c r="D64" s="413">
        <v>7.3316220000000001E-2</v>
      </c>
      <c r="E64" s="413"/>
      <c r="F64" s="413" t="s">
        <v>204</v>
      </c>
      <c r="G64" s="413">
        <v>9.9213999999999997E-2</v>
      </c>
      <c r="H64" s="413">
        <v>5.793098E-2</v>
      </c>
      <c r="I64" s="413">
        <v>1.1573E-2</v>
      </c>
      <c r="J64" s="413"/>
      <c r="K64" s="413" t="s">
        <v>38</v>
      </c>
      <c r="L64" s="413">
        <v>1.4214184999999999</v>
      </c>
      <c r="M64" s="413">
        <v>2.2611962999999999</v>
      </c>
      <c r="N64" s="419">
        <v>1.64388175</v>
      </c>
      <c r="S64" s="20"/>
      <c r="T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 spans="1:35" x14ac:dyDescent="0.25">
      <c r="A65" s="60" t="s">
        <v>32</v>
      </c>
      <c r="B65" s="60">
        <v>3.5569999999999997E-4</v>
      </c>
      <c r="C65" s="60">
        <v>4.3350000000000003E-3</v>
      </c>
      <c r="D65" s="60">
        <v>7.0000000000000007E-2</v>
      </c>
      <c r="E65" s="60"/>
      <c r="F65" s="60" t="s">
        <v>15</v>
      </c>
      <c r="G65" s="60">
        <v>1.8821000000000001E-2</v>
      </c>
      <c r="H65" s="60">
        <v>3.8799699999999999E-3</v>
      </c>
      <c r="I65" s="60">
        <v>1.1497469999999999E-2</v>
      </c>
      <c r="J65" s="60"/>
      <c r="K65" s="60" t="s">
        <v>20</v>
      </c>
      <c r="L65" s="60">
        <v>6.4599999999999998E-4</v>
      </c>
      <c r="M65" s="60">
        <v>0.37453084999999997</v>
      </c>
      <c r="N65" s="46">
        <v>1.6361643700000001</v>
      </c>
      <c r="S65" s="20"/>
      <c r="T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</row>
    <row r="66" spans="1:35" x14ac:dyDescent="0.25">
      <c r="A66" s="413" t="s">
        <v>113</v>
      </c>
      <c r="B66" s="413">
        <v>0.26524861999999999</v>
      </c>
      <c r="C66" s="413">
        <v>4.5777930000000001E-2</v>
      </c>
      <c r="D66" s="413">
        <v>6.433498E-2</v>
      </c>
      <c r="E66" s="413"/>
      <c r="F66" s="413" t="s">
        <v>90</v>
      </c>
      <c r="G66" s="413">
        <v>0</v>
      </c>
      <c r="H66" s="413">
        <v>6.2911400000000006E-3</v>
      </c>
      <c r="I66" s="413">
        <v>1.1148690000000001E-2</v>
      </c>
      <c r="J66" s="413"/>
      <c r="K66" s="413" t="s">
        <v>105</v>
      </c>
      <c r="L66" s="413">
        <v>2.345548</v>
      </c>
      <c r="M66" s="413">
        <v>1.4951473200000001</v>
      </c>
      <c r="N66" s="419">
        <v>1.6076641399999998</v>
      </c>
      <c r="S66" s="20"/>
      <c r="T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</row>
    <row r="67" spans="1:35" x14ac:dyDescent="0.25">
      <c r="A67" s="60" t="s">
        <v>208</v>
      </c>
      <c r="B67" s="60">
        <v>0.65724225999999997</v>
      </c>
      <c r="C67" s="60">
        <v>0.11488691000000001</v>
      </c>
      <c r="D67" s="60">
        <v>6.2129139999999999E-2</v>
      </c>
      <c r="E67" s="60"/>
      <c r="F67" s="60" t="s">
        <v>178</v>
      </c>
      <c r="G67" s="60">
        <v>0.36217826000000003</v>
      </c>
      <c r="H67" s="60">
        <v>1.034764E-2</v>
      </c>
      <c r="I67" s="60">
        <v>9.7524199999999995E-3</v>
      </c>
      <c r="J67" s="60"/>
      <c r="K67" s="60" t="s">
        <v>87</v>
      </c>
      <c r="L67" s="60">
        <v>1.5901749999999999</v>
      </c>
      <c r="M67" s="60">
        <v>1.7852153799999999</v>
      </c>
      <c r="N67" s="46">
        <v>1.5931737699999999</v>
      </c>
      <c r="S67" s="20"/>
      <c r="T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</row>
    <row r="68" spans="1:35" x14ac:dyDescent="0.25">
      <c r="A68" s="413" t="s">
        <v>166</v>
      </c>
      <c r="B68" s="413">
        <v>0.27591076000000003</v>
      </c>
      <c r="C68" s="413">
        <v>0</v>
      </c>
      <c r="D68" s="413">
        <v>6.1377939999999999E-2</v>
      </c>
      <c r="E68" s="413"/>
      <c r="F68" s="413" t="s">
        <v>195</v>
      </c>
      <c r="G68" s="413">
        <v>9.6176109999999995E-2</v>
      </c>
      <c r="H68" s="413">
        <v>2.6844259999999998E-2</v>
      </c>
      <c r="I68" s="413">
        <v>9.7300000000000008E-3</v>
      </c>
      <c r="J68" s="413"/>
      <c r="K68" s="413" t="s">
        <v>180</v>
      </c>
      <c r="L68" s="413">
        <v>2.7056464900000003</v>
      </c>
      <c r="M68" s="413">
        <v>2.06290898</v>
      </c>
      <c r="N68" s="419">
        <v>1.53265611</v>
      </c>
      <c r="S68" s="20"/>
      <c r="T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</row>
    <row r="69" spans="1:35" x14ac:dyDescent="0.25">
      <c r="A69" s="60" t="s">
        <v>117</v>
      </c>
      <c r="B69" s="60">
        <v>3.18506E-2</v>
      </c>
      <c r="C69" s="60">
        <v>1.4901629999999999E-2</v>
      </c>
      <c r="D69" s="60">
        <v>6.0977239999999995E-2</v>
      </c>
      <c r="E69" s="60"/>
      <c r="F69" s="60" t="s">
        <v>208</v>
      </c>
      <c r="G69" s="60">
        <v>5.3576120000000005E-2</v>
      </c>
      <c r="H69" s="60">
        <v>0.56169455000000001</v>
      </c>
      <c r="I69" s="60">
        <v>9.0603599999999999E-3</v>
      </c>
      <c r="J69" s="60"/>
      <c r="K69" s="60" t="s">
        <v>90</v>
      </c>
      <c r="L69" s="60">
        <v>0.13372404999999998</v>
      </c>
      <c r="M69" s="60">
        <v>2.0857758999999998</v>
      </c>
      <c r="N69" s="46">
        <v>1.3200882</v>
      </c>
      <c r="S69" s="20"/>
      <c r="T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</row>
    <row r="70" spans="1:35" x14ac:dyDescent="0.25">
      <c r="A70" s="60" t="s">
        <v>126</v>
      </c>
      <c r="B70" s="60">
        <v>1.46602E-3</v>
      </c>
      <c r="C70" s="60">
        <v>0.12041875</v>
      </c>
      <c r="D70" s="60">
        <v>5.7234119999999999E-2</v>
      </c>
      <c r="E70" s="60"/>
      <c r="F70" s="60" t="s">
        <v>56</v>
      </c>
      <c r="G70" s="60">
        <v>5.04E-4</v>
      </c>
      <c r="H70" s="60">
        <v>2.1950000000000001E-2</v>
      </c>
      <c r="I70" s="60">
        <v>8.3964299999999999E-3</v>
      </c>
      <c r="J70" s="60"/>
      <c r="K70" s="60" t="s">
        <v>37</v>
      </c>
      <c r="L70" s="60">
        <v>0.3788646</v>
      </c>
      <c r="M70" s="60">
        <v>0.490649</v>
      </c>
      <c r="N70" s="46">
        <v>1.13852</v>
      </c>
      <c r="S70" s="20"/>
      <c r="T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 spans="1:35" x14ac:dyDescent="0.25">
      <c r="A71" s="413" t="s">
        <v>189</v>
      </c>
      <c r="B71" s="413">
        <v>0.99837353000000006</v>
      </c>
      <c r="C71" s="413">
        <v>7.2025560000000002E-2</v>
      </c>
      <c r="D71" s="413">
        <v>5.1666830000000004E-2</v>
      </c>
      <c r="E71" s="413"/>
      <c r="F71" s="413" t="s">
        <v>22</v>
      </c>
      <c r="G71" s="413">
        <v>5.2516E-2</v>
      </c>
      <c r="H71" s="413">
        <v>1.036276E-2</v>
      </c>
      <c r="I71" s="413">
        <v>7.04384E-3</v>
      </c>
      <c r="J71" s="413"/>
      <c r="K71" s="413" t="s">
        <v>75</v>
      </c>
      <c r="L71" s="413">
        <v>7.6863020099999995</v>
      </c>
      <c r="M71" s="413">
        <v>0.1142606</v>
      </c>
      <c r="N71" s="419">
        <v>1.12398485</v>
      </c>
      <c r="S71" s="20"/>
      <c r="T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</row>
    <row r="72" spans="1:35" x14ac:dyDescent="0.25">
      <c r="A72" s="60" t="s">
        <v>43</v>
      </c>
      <c r="B72" s="60">
        <v>3.2627440000000001E-2</v>
      </c>
      <c r="C72" s="60">
        <v>2.642945E-2</v>
      </c>
      <c r="D72" s="60">
        <v>4.9864849999999995E-2</v>
      </c>
      <c r="E72" s="60"/>
      <c r="F72" s="60" t="s">
        <v>19</v>
      </c>
      <c r="G72" s="60">
        <v>0</v>
      </c>
      <c r="H72" s="60">
        <v>1.7379699999999999E-3</v>
      </c>
      <c r="I72" s="60">
        <v>6.7959099999999996E-3</v>
      </c>
      <c r="J72" s="60"/>
      <c r="K72" s="60" t="s">
        <v>103</v>
      </c>
      <c r="L72" s="60">
        <v>4.8362674400000003</v>
      </c>
      <c r="M72" s="60">
        <v>1.4357177800000001</v>
      </c>
      <c r="N72" s="46">
        <v>1.1118409499999999</v>
      </c>
      <c r="S72" s="20"/>
      <c r="T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 spans="1:35" x14ac:dyDescent="0.25">
      <c r="A73" s="413" t="s">
        <v>74</v>
      </c>
      <c r="B73" s="413">
        <v>8.7268520000000002E-2</v>
      </c>
      <c r="C73" s="413">
        <v>1.4832E-2</v>
      </c>
      <c r="D73" s="413">
        <v>4.8822529999999996E-2</v>
      </c>
      <c r="E73" s="413"/>
      <c r="F73" s="413" t="s">
        <v>29</v>
      </c>
      <c r="G73" s="413">
        <v>1.537E-3</v>
      </c>
      <c r="H73" s="413">
        <v>2.1485500000000004E-3</v>
      </c>
      <c r="I73" s="413">
        <v>6.6039999999999996E-3</v>
      </c>
      <c r="J73" s="413"/>
      <c r="K73" s="413" t="s">
        <v>106</v>
      </c>
      <c r="L73" s="413">
        <v>1.8995276999999999</v>
      </c>
      <c r="M73" s="413">
        <v>0.66458399000000001</v>
      </c>
      <c r="N73" s="419">
        <v>1.1070398600000002</v>
      </c>
      <c r="S73" s="20"/>
      <c r="T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 spans="1:35" x14ac:dyDescent="0.25">
      <c r="A74" s="60" t="s">
        <v>80</v>
      </c>
      <c r="B74" s="60">
        <v>2.1584300000000001E-2</v>
      </c>
      <c r="C74" s="60">
        <v>0</v>
      </c>
      <c r="D74" s="60">
        <v>4.70859E-2</v>
      </c>
      <c r="E74" s="60"/>
      <c r="F74" s="60" t="s">
        <v>112</v>
      </c>
      <c r="G74" s="60">
        <v>0.27295076000000001</v>
      </c>
      <c r="H74" s="60">
        <v>0</v>
      </c>
      <c r="I74" s="60">
        <v>6.1359399999999995E-3</v>
      </c>
      <c r="J74" s="60"/>
      <c r="K74" s="60" t="s">
        <v>155</v>
      </c>
      <c r="L74" s="60">
        <v>4.2085899999999999E-3</v>
      </c>
      <c r="M74" s="60">
        <v>3.281887E-2</v>
      </c>
      <c r="N74" s="46">
        <v>1.0662288200000001</v>
      </c>
      <c r="S74" s="20"/>
      <c r="T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 spans="1:35" x14ac:dyDescent="0.25">
      <c r="A75" s="413" t="s">
        <v>157</v>
      </c>
      <c r="B75" s="413">
        <v>10.825184269999999</v>
      </c>
      <c r="C75" s="413">
        <v>1.3126510900000001</v>
      </c>
      <c r="D75" s="413">
        <v>4.436706E-2</v>
      </c>
      <c r="E75" s="413"/>
      <c r="F75" s="413" t="s">
        <v>62</v>
      </c>
      <c r="G75" s="413">
        <v>1.40521E-2</v>
      </c>
      <c r="H75" s="413">
        <v>5.7506199999999997E-3</v>
      </c>
      <c r="I75" s="413">
        <v>5.4424700000000005E-3</v>
      </c>
      <c r="J75" s="413"/>
      <c r="K75" s="413" t="s">
        <v>83</v>
      </c>
      <c r="L75" s="413">
        <v>0.58611303000000003</v>
      </c>
      <c r="M75" s="413">
        <v>0.88283736000000002</v>
      </c>
      <c r="N75" s="419">
        <v>1.0019302800000001</v>
      </c>
      <c r="S75" s="20"/>
      <c r="T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 spans="1:35" x14ac:dyDescent="0.25">
      <c r="A76" s="60" t="s">
        <v>192</v>
      </c>
      <c r="B76" s="60">
        <v>1.9825700000000002E-2</v>
      </c>
      <c r="C76" s="60">
        <v>1.5062059999999999E-2</v>
      </c>
      <c r="D76" s="60">
        <v>4.2865760000000003E-2</v>
      </c>
      <c r="E76" s="60"/>
      <c r="F76" s="60" t="s">
        <v>54</v>
      </c>
      <c r="G76" s="60">
        <v>1.278809E-2</v>
      </c>
      <c r="H76" s="60">
        <v>5.2350000000000001E-3</v>
      </c>
      <c r="I76" s="60">
        <v>5.4099999999999999E-3</v>
      </c>
      <c r="J76" s="60"/>
      <c r="K76" s="60" t="s">
        <v>209</v>
      </c>
      <c r="L76" s="60">
        <v>0.37684749000000001</v>
      </c>
      <c r="M76" s="60">
        <v>7.2772210000000004E-2</v>
      </c>
      <c r="N76" s="46">
        <v>0.93873600000000001</v>
      </c>
      <c r="S76" s="20"/>
      <c r="T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x14ac:dyDescent="0.25">
      <c r="A77" s="60" t="s">
        <v>93</v>
      </c>
      <c r="B77" s="60">
        <v>5.679737E-2</v>
      </c>
      <c r="C77" s="60">
        <v>5.688841E-2</v>
      </c>
      <c r="D77" s="60">
        <v>3.9314660000000001E-2</v>
      </c>
      <c r="E77" s="60"/>
      <c r="F77" s="60" t="s">
        <v>196</v>
      </c>
      <c r="G77" s="60">
        <v>2.6250000000000002E-3</v>
      </c>
      <c r="H77" s="60">
        <v>3.2345319999999997E-2</v>
      </c>
      <c r="I77" s="60">
        <v>3.908E-3</v>
      </c>
      <c r="J77" s="60"/>
      <c r="K77" s="60" t="s">
        <v>94</v>
      </c>
      <c r="L77" s="60">
        <v>0</v>
      </c>
      <c r="M77" s="60">
        <v>4.1880000000000006E-5</v>
      </c>
      <c r="N77" s="46">
        <v>0.93589500000000003</v>
      </c>
      <c r="S77" s="20"/>
      <c r="T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 spans="1:35" x14ac:dyDescent="0.25">
      <c r="A78" s="413" t="s">
        <v>96</v>
      </c>
      <c r="B78" s="413">
        <v>4.9565380000000001</v>
      </c>
      <c r="C78" s="413">
        <v>0.60698510999999999</v>
      </c>
      <c r="D78" s="413">
        <v>3.7570190000000003E-2</v>
      </c>
      <c r="E78" s="413"/>
      <c r="F78" s="413" t="s">
        <v>188</v>
      </c>
      <c r="G78" s="413">
        <v>1.888111E-2</v>
      </c>
      <c r="H78" s="413">
        <v>0</v>
      </c>
      <c r="I78" s="413">
        <v>3.7799999999999999E-3</v>
      </c>
      <c r="J78" s="413"/>
      <c r="K78" s="413" t="s">
        <v>79</v>
      </c>
      <c r="L78" s="413">
        <v>0.39751292999999999</v>
      </c>
      <c r="M78" s="413">
        <v>0.36580193</v>
      </c>
      <c r="N78" s="419">
        <v>0.86362207999999996</v>
      </c>
      <c r="S78" s="20"/>
      <c r="T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x14ac:dyDescent="0.25">
      <c r="A79" s="60" t="s">
        <v>99</v>
      </c>
      <c r="B79" s="60">
        <v>0</v>
      </c>
      <c r="C79" s="60">
        <v>0.28926314000000003</v>
      </c>
      <c r="D79" s="60">
        <v>3.6874529999999996E-2</v>
      </c>
      <c r="E79" s="60"/>
      <c r="F79" s="60" t="s">
        <v>28</v>
      </c>
      <c r="G79" s="60">
        <v>2.8879999999999999E-3</v>
      </c>
      <c r="H79" s="60">
        <v>0.32561996999999998</v>
      </c>
      <c r="I79" s="60">
        <v>3.2919499999999997E-3</v>
      </c>
      <c r="J79" s="60"/>
      <c r="K79" s="60" t="s">
        <v>154</v>
      </c>
      <c r="L79" s="60">
        <v>0</v>
      </c>
      <c r="M79" s="60">
        <v>3.593184E-2</v>
      </c>
      <c r="N79" s="46">
        <v>0.66923178999999999</v>
      </c>
      <c r="S79" s="20"/>
      <c r="T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x14ac:dyDescent="0.25">
      <c r="A80" s="413" t="s">
        <v>112</v>
      </c>
      <c r="B80" s="413">
        <v>1.39278346</v>
      </c>
      <c r="C80" s="413">
        <v>1.5869060000000001E-2</v>
      </c>
      <c r="D80" s="413">
        <v>3.6607649999999999E-2</v>
      </c>
      <c r="E80" s="413"/>
      <c r="F80" s="413" t="s">
        <v>356</v>
      </c>
      <c r="G80" s="413">
        <v>0.1173</v>
      </c>
      <c r="H80" s="413">
        <v>0</v>
      </c>
      <c r="I80" s="413">
        <v>2.9420000000000002E-3</v>
      </c>
      <c r="J80" s="413"/>
      <c r="K80" s="413" t="s">
        <v>119</v>
      </c>
      <c r="L80" s="413">
        <v>0.96307491000000001</v>
      </c>
      <c r="M80" s="413">
        <v>0.84574978000000001</v>
      </c>
      <c r="N80" s="419">
        <v>0.66295269999999995</v>
      </c>
      <c r="S80" s="20"/>
      <c r="T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 spans="1:35" x14ac:dyDescent="0.25">
      <c r="A81" s="60" t="s">
        <v>125</v>
      </c>
      <c r="B81" s="60">
        <v>5.1127299999999994E-3</v>
      </c>
      <c r="C81" s="60">
        <v>1.3846500000000001E-3</v>
      </c>
      <c r="D81" s="60">
        <v>3.2495139999999999E-2</v>
      </c>
      <c r="E81" s="60"/>
      <c r="F81" s="60" t="s">
        <v>191</v>
      </c>
      <c r="G81" s="60">
        <v>4.6699999999999997E-3</v>
      </c>
      <c r="H81" s="60">
        <v>3.7791989999999998E-2</v>
      </c>
      <c r="I81" s="60">
        <v>2.6220000000000002E-3</v>
      </c>
      <c r="J81" s="60"/>
      <c r="K81" s="60" t="s">
        <v>215</v>
      </c>
      <c r="L81" s="60">
        <v>3.1985999999999999</v>
      </c>
      <c r="M81" s="60">
        <v>1.6177202800000001</v>
      </c>
      <c r="N81" s="46">
        <v>0.62324999999999997</v>
      </c>
      <c r="S81" s="20"/>
      <c r="T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 spans="1:35" x14ac:dyDescent="0.25">
      <c r="A82" s="413" t="s">
        <v>108</v>
      </c>
      <c r="B82" s="413">
        <v>1.7250000000000001E-2</v>
      </c>
      <c r="C82" s="413">
        <v>0</v>
      </c>
      <c r="D82" s="413">
        <v>3.1574999999999999E-2</v>
      </c>
      <c r="E82" s="413"/>
      <c r="F82" s="413" t="s">
        <v>210</v>
      </c>
      <c r="G82" s="413">
        <v>4.6298699999999995E-3</v>
      </c>
      <c r="H82" s="413">
        <v>4.0000000000000003E-5</v>
      </c>
      <c r="I82" s="413">
        <v>2.4719999999999998E-3</v>
      </c>
      <c r="J82" s="413"/>
      <c r="K82" s="413" t="s">
        <v>70</v>
      </c>
      <c r="L82" s="413">
        <v>0</v>
      </c>
      <c r="M82" s="413">
        <v>0</v>
      </c>
      <c r="N82" s="419">
        <v>0.60218956999999995</v>
      </c>
      <c r="S82" s="20"/>
      <c r="T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 spans="1:35" x14ac:dyDescent="0.25">
      <c r="A83" s="60" t="s">
        <v>75</v>
      </c>
      <c r="B83" s="60">
        <v>0.28198672999999996</v>
      </c>
      <c r="C83" s="60">
        <v>0</v>
      </c>
      <c r="D83" s="60">
        <v>3.1556099999999997E-2</v>
      </c>
      <c r="E83" s="60"/>
      <c r="F83" s="60" t="s">
        <v>176</v>
      </c>
      <c r="G83" s="60">
        <v>2.4708400000000002E-3</v>
      </c>
      <c r="H83" s="60">
        <v>5.7328299999999995E-3</v>
      </c>
      <c r="I83" s="60">
        <v>2.3856799999999998E-3</v>
      </c>
      <c r="J83" s="60"/>
      <c r="K83" s="60" t="s">
        <v>354</v>
      </c>
      <c r="L83" s="60">
        <v>0.1386</v>
      </c>
      <c r="M83" s="60">
        <v>0.24640000000000001</v>
      </c>
      <c r="N83" s="46">
        <v>0.52759999999999996</v>
      </c>
      <c r="S83" s="20"/>
      <c r="T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 spans="1:35" x14ac:dyDescent="0.25">
      <c r="A84" s="60" t="s">
        <v>210</v>
      </c>
      <c r="B84" s="60">
        <v>8.2358199999999993E-2</v>
      </c>
      <c r="C84" s="60">
        <v>9.8177000000000004E-3</v>
      </c>
      <c r="D84" s="60">
        <v>2.9537650000000002E-2</v>
      </c>
      <c r="E84" s="60"/>
      <c r="F84" s="60" t="s">
        <v>47</v>
      </c>
      <c r="G84" s="60">
        <v>1.32723E-3</v>
      </c>
      <c r="H84" s="60">
        <v>3.9376799999999998E-3</v>
      </c>
      <c r="I84" s="60">
        <v>2.2186900000000002E-3</v>
      </c>
      <c r="J84" s="60"/>
      <c r="K84" s="60" t="s">
        <v>29</v>
      </c>
      <c r="L84" s="60">
        <v>0.46397796999999996</v>
      </c>
      <c r="M84" s="60">
        <v>0.10512963</v>
      </c>
      <c r="N84" s="46">
        <v>0.51717641999999997</v>
      </c>
      <c r="S84" s="20"/>
      <c r="T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 spans="1:35" x14ac:dyDescent="0.25">
      <c r="A85" s="413" t="s">
        <v>162</v>
      </c>
      <c r="B85" s="413">
        <v>12.84195203</v>
      </c>
      <c r="C85" s="413">
        <v>13.37073285</v>
      </c>
      <c r="D85" s="413">
        <v>2.747716E-2</v>
      </c>
      <c r="E85" s="413"/>
      <c r="F85" s="413" t="s">
        <v>89</v>
      </c>
      <c r="G85" s="413">
        <v>6.0135000000000006E-4</v>
      </c>
      <c r="H85" s="413">
        <v>3.9516000000000003E-2</v>
      </c>
      <c r="I85" s="413">
        <v>2.0858199999999999E-3</v>
      </c>
      <c r="J85" s="413"/>
      <c r="K85" s="413" t="s">
        <v>81</v>
      </c>
      <c r="L85" s="413">
        <v>0.75287403000000008</v>
      </c>
      <c r="M85" s="413">
        <v>0.77949884999999997</v>
      </c>
      <c r="N85" s="419">
        <v>0.48988300000000001</v>
      </c>
      <c r="S85" s="20"/>
      <c r="T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 spans="1:35" x14ac:dyDescent="0.25">
      <c r="A86" s="60" t="s">
        <v>103</v>
      </c>
      <c r="B86" s="60">
        <v>0</v>
      </c>
      <c r="C86" s="60">
        <v>4.9570080000000002E-2</v>
      </c>
      <c r="D86" s="60">
        <v>2.3582499999999999E-2</v>
      </c>
      <c r="E86" s="60"/>
      <c r="F86" s="60" t="s">
        <v>213</v>
      </c>
      <c r="G86" s="60">
        <v>0.18086229000000001</v>
      </c>
      <c r="H86" s="60">
        <v>7.3859070000000013E-2</v>
      </c>
      <c r="I86" s="60">
        <v>2.0512899999999999E-3</v>
      </c>
      <c r="J86" s="60"/>
      <c r="K86" s="60" t="s">
        <v>156</v>
      </c>
      <c r="L86" s="60">
        <v>15.681019189999999</v>
      </c>
      <c r="M86" s="60">
        <v>0.25390502999999998</v>
      </c>
      <c r="N86" s="46">
        <v>0.48440368</v>
      </c>
      <c r="S86" s="20"/>
      <c r="T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 spans="1:35" x14ac:dyDescent="0.25">
      <c r="A87" s="413" t="s">
        <v>214</v>
      </c>
      <c r="B87" s="413">
        <v>9.9780830000000001E-2</v>
      </c>
      <c r="C87" s="413">
        <v>2.5014560000000002E-2</v>
      </c>
      <c r="D87" s="413">
        <v>2.198081E-2</v>
      </c>
      <c r="E87" s="413"/>
      <c r="F87" s="413" t="s">
        <v>115</v>
      </c>
      <c r="G87" s="413">
        <v>2.23E-4</v>
      </c>
      <c r="H87" s="413">
        <v>0.11186485</v>
      </c>
      <c r="I87" s="413">
        <v>1.9499999999999999E-3</v>
      </c>
      <c r="J87" s="413"/>
      <c r="K87" s="413" t="s">
        <v>19</v>
      </c>
      <c r="L87" s="413">
        <v>0</v>
      </c>
      <c r="M87" s="413">
        <v>1.03041E-2</v>
      </c>
      <c r="N87" s="419">
        <v>0.46428963000000001</v>
      </c>
      <c r="S87" s="20"/>
      <c r="T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x14ac:dyDescent="0.25">
      <c r="A88" s="60" t="s">
        <v>35</v>
      </c>
      <c r="B88" s="60">
        <v>0</v>
      </c>
      <c r="C88" s="60">
        <v>0</v>
      </c>
      <c r="D88" s="60">
        <v>1.7000000000000001E-2</v>
      </c>
      <c r="E88" s="60"/>
      <c r="F88" s="60" t="s">
        <v>0</v>
      </c>
      <c r="G88" s="60">
        <v>0</v>
      </c>
      <c r="H88" s="60">
        <v>0</v>
      </c>
      <c r="I88" s="60">
        <v>1.895E-3</v>
      </c>
      <c r="J88" s="60"/>
      <c r="K88" s="60" t="s">
        <v>102</v>
      </c>
      <c r="L88" s="60">
        <v>7.3051787900000003</v>
      </c>
      <c r="M88" s="60">
        <v>0.92561106999999998</v>
      </c>
      <c r="N88" s="46">
        <v>0.45851633000000003</v>
      </c>
      <c r="S88" s="20"/>
      <c r="T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 spans="1:35" x14ac:dyDescent="0.25">
      <c r="A89" s="413" t="s">
        <v>83</v>
      </c>
      <c r="B89" s="413">
        <v>1.8530099999999997E-2</v>
      </c>
      <c r="C89" s="413">
        <v>1.259484E-2</v>
      </c>
      <c r="D89" s="413">
        <v>1.443533E-2</v>
      </c>
      <c r="E89" s="413"/>
      <c r="F89" s="413" t="s">
        <v>113</v>
      </c>
      <c r="G89" s="413">
        <v>8.1138E-4</v>
      </c>
      <c r="H89" s="413">
        <v>2.0223430000000001E-2</v>
      </c>
      <c r="I89" s="413">
        <v>1.8259999999999999E-3</v>
      </c>
      <c r="J89" s="413"/>
      <c r="K89" s="413" t="s">
        <v>137</v>
      </c>
      <c r="L89" s="413">
        <v>1.2969684299999999</v>
      </c>
      <c r="M89" s="413">
        <v>2.5094089300000002</v>
      </c>
      <c r="N89" s="419">
        <v>0.45716001000000001</v>
      </c>
      <c r="S89" s="20"/>
      <c r="T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 spans="1:35" x14ac:dyDescent="0.25">
      <c r="A90" s="60" t="s">
        <v>197</v>
      </c>
      <c r="B90" s="60">
        <v>1.4260618899999999</v>
      </c>
      <c r="C90" s="60">
        <v>1.5483719999999999E-2</v>
      </c>
      <c r="D90" s="60">
        <v>1.309184E-2</v>
      </c>
      <c r="E90" s="60"/>
      <c r="F90" s="60" t="s">
        <v>45</v>
      </c>
      <c r="G90" s="60">
        <v>1.9598849999999998E-2</v>
      </c>
      <c r="H90" s="60">
        <v>5.4162500000000001E-3</v>
      </c>
      <c r="I90" s="60">
        <v>1.7404E-3</v>
      </c>
      <c r="J90" s="60"/>
      <c r="K90" s="60" t="s">
        <v>163</v>
      </c>
      <c r="L90" s="60">
        <v>0.61443306000000009</v>
      </c>
      <c r="M90" s="60">
        <v>0.38117871999999997</v>
      </c>
      <c r="N90" s="46">
        <v>0.45013421999999997</v>
      </c>
      <c r="S90" s="20"/>
      <c r="T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 spans="1:35" x14ac:dyDescent="0.25">
      <c r="A91" s="60" t="s">
        <v>123</v>
      </c>
      <c r="B91" s="60">
        <v>0</v>
      </c>
      <c r="C91" s="60">
        <v>0</v>
      </c>
      <c r="D91" s="60">
        <v>1.307636E-2</v>
      </c>
      <c r="E91" s="60"/>
      <c r="F91" s="60" t="s">
        <v>51</v>
      </c>
      <c r="G91" s="60">
        <v>7.9955200000000008E-3</v>
      </c>
      <c r="H91" s="60">
        <v>4.2000000000000002E-4</v>
      </c>
      <c r="I91" s="60">
        <v>1.56E-3</v>
      </c>
      <c r="J91" s="60"/>
      <c r="K91" s="60" t="s">
        <v>60</v>
      </c>
      <c r="L91" s="60">
        <v>0.42714557000000003</v>
      </c>
      <c r="M91" s="60">
        <v>0.44098721999999996</v>
      </c>
      <c r="N91" s="46">
        <v>0.43572290000000002</v>
      </c>
      <c r="S91" s="20"/>
      <c r="T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 spans="1:35" x14ac:dyDescent="0.25">
      <c r="A92" s="413" t="s">
        <v>90</v>
      </c>
      <c r="B92" s="413">
        <v>6.1214529999999996E-2</v>
      </c>
      <c r="C92" s="413">
        <v>9.181135E-2</v>
      </c>
      <c r="D92" s="413">
        <v>1.0710290000000001E-2</v>
      </c>
      <c r="E92" s="413"/>
      <c r="F92" s="413" t="s">
        <v>192</v>
      </c>
      <c r="G92" s="413">
        <v>6.8000000000000005E-4</v>
      </c>
      <c r="H92" s="413">
        <v>4.1700000000000001E-3</v>
      </c>
      <c r="I92" s="413">
        <v>1.5089999999999999E-3</v>
      </c>
      <c r="J92" s="413"/>
      <c r="K92" s="413" t="s">
        <v>4</v>
      </c>
      <c r="L92" s="413">
        <v>5.7734203499999994</v>
      </c>
      <c r="M92" s="413">
        <v>3.4820104000000001</v>
      </c>
      <c r="N92" s="419">
        <v>0.42461129999999997</v>
      </c>
      <c r="S92" s="20"/>
      <c r="T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 spans="1:35" x14ac:dyDescent="0.25">
      <c r="A93" s="60" t="s">
        <v>168</v>
      </c>
      <c r="B93" s="60">
        <v>0.38380755999999999</v>
      </c>
      <c r="C93" s="60">
        <v>0</v>
      </c>
      <c r="D93" s="60">
        <v>9.9207299999999991E-3</v>
      </c>
      <c r="E93" s="60"/>
      <c r="F93" s="60" t="s">
        <v>158</v>
      </c>
      <c r="G93" s="60">
        <v>5.7203580000000004E-2</v>
      </c>
      <c r="H93" s="60">
        <v>0.11050525999999999</v>
      </c>
      <c r="I93" s="60">
        <v>1.5E-3</v>
      </c>
      <c r="J93" s="60"/>
      <c r="K93" s="60" t="s">
        <v>142</v>
      </c>
      <c r="L93" s="60">
        <v>0.15204418</v>
      </c>
      <c r="M93" s="60">
        <v>0.16978558999999999</v>
      </c>
      <c r="N93" s="46">
        <v>0.40562205000000001</v>
      </c>
      <c r="S93" s="20"/>
      <c r="T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x14ac:dyDescent="0.25">
      <c r="A94" s="413" t="s">
        <v>174</v>
      </c>
      <c r="B94" s="413">
        <v>0.17542017000000001</v>
      </c>
      <c r="C94" s="413">
        <v>0.22566417999999999</v>
      </c>
      <c r="D94" s="413">
        <v>9.5553199999999991E-3</v>
      </c>
      <c r="E94" s="413"/>
      <c r="F94" s="413" t="s">
        <v>189</v>
      </c>
      <c r="G94" s="413">
        <v>2.5298000000000001E-2</v>
      </c>
      <c r="H94" s="413">
        <v>2.2374939999999999E-2</v>
      </c>
      <c r="I94" s="413">
        <v>1.3759200000000001E-3</v>
      </c>
      <c r="J94" s="413"/>
      <c r="K94" s="413" t="s">
        <v>76</v>
      </c>
      <c r="L94" s="413">
        <v>0.33264125</v>
      </c>
      <c r="M94" s="413">
        <v>0.10672649000000001</v>
      </c>
      <c r="N94" s="419">
        <v>0.40407209000000005</v>
      </c>
      <c r="S94" s="20"/>
      <c r="T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35" x14ac:dyDescent="0.25">
      <c r="A95" s="60" t="s">
        <v>29</v>
      </c>
      <c r="B95" s="60">
        <v>1.4623280000000001E-2</v>
      </c>
      <c r="C95" s="60">
        <v>2.4444830000000001E-2</v>
      </c>
      <c r="D95" s="60">
        <v>8.7051200000000002E-3</v>
      </c>
      <c r="E95" s="60"/>
      <c r="F95" s="60" t="s">
        <v>137</v>
      </c>
      <c r="G95" s="60">
        <v>8.0000000000000004E-4</v>
      </c>
      <c r="H95" s="60">
        <v>1.1491400000000001E-3</v>
      </c>
      <c r="I95" s="60">
        <v>1.2999999999999999E-3</v>
      </c>
      <c r="J95" s="60"/>
      <c r="K95" s="60" t="s">
        <v>5</v>
      </c>
      <c r="L95" s="60">
        <v>0.22910647000000001</v>
      </c>
      <c r="M95" s="60">
        <v>0.42495295</v>
      </c>
      <c r="N95" s="46">
        <v>0.39668843999999998</v>
      </c>
      <c r="S95" s="20"/>
      <c r="T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 spans="1:35" x14ac:dyDescent="0.25">
      <c r="A96" s="413" t="s">
        <v>136</v>
      </c>
      <c r="B96" s="413">
        <v>6.0679650000000002E-2</v>
      </c>
      <c r="C96" s="413">
        <v>4.71332E-3</v>
      </c>
      <c r="D96" s="413">
        <v>8.6563099999999987E-3</v>
      </c>
      <c r="E96" s="413"/>
      <c r="F96" s="413" t="s">
        <v>155</v>
      </c>
      <c r="G96" s="413">
        <v>0</v>
      </c>
      <c r="H96" s="413">
        <v>0</v>
      </c>
      <c r="I96" s="413">
        <v>1.2484E-3</v>
      </c>
      <c r="J96" s="413"/>
      <c r="K96" s="413" t="s">
        <v>152</v>
      </c>
      <c r="L96" s="413">
        <v>4.6582999999999998E-4</v>
      </c>
      <c r="M96" s="413">
        <v>4.0250000000000001E-2</v>
      </c>
      <c r="N96" s="419">
        <v>0.36438395000000001</v>
      </c>
      <c r="S96" s="20"/>
      <c r="T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 spans="1:35" x14ac:dyDescent="0.25">
      <c r="A97" s="60" t="s">
        <v>209</v>
      </c>
      <c r="B97" s="60">
        <v>7.2414110000000004E-2</v>
      </c>
      <c r="C97" s="60">
        <v>7.2545360000000003E-2</v>
      </c>
      <c r="D97" s="60">
        <v>8.4612400000000001E-3</v>
      </c>
      <c r="E97" s="60"/>
      <c r="F97" s="60" t="s">
        <v>27</v>
      </c>
      <c r="G97" s="60">
        <v>8.9499999999999996E-4</v>
      </c>
      <c r="H97" s="60">
        <v>7.7499999999999997E-4</v>
      </c>
      <c r="I97" s="60">
        <v>1.2440000000000001E-3</v>
      </c>
      <c r="J97" s="60"/>
      <c r="K97" s="60" t="s">
        <v>129</v>
      </c>
      <c r="L97" s="60">
        <v>5.5500000000000005E-4</v>
      </c>
      <c r="M97" s="60">
        <v>0</v>
      </c>
      <c r="N97" s="46">
        <v>0.35832468000000001</v>
      </c>
      <c r="S97" s="20"/>
      <c r="T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 spans="1:35" x14ac:dyDescent="0.25">
      <c r="A98" s="60" t="s">
        <v>94</v>
      </c>
      <c r="B98" s="60">
        <v>6.8565900000000001E-3</v>
      </c>
      <c r="C98" s="60">
        <v>6.6730220599999992</v>
      </c>
      <c r="D98" s="60">
        <v>7.2085299999999995E-3</v>
      </c>
      <c r="E98" s="60"/>
      <c r="F98" s="60" t="s">
        <v>110</v>
      </c>
      <c r="G98" s="60">
        <v>6.3400000000000001E-4</v>
      </c>
      <c r="H98" s="60">
        <v>0</v>
      </c>
      <c r="I98" s="60">
        <v>1.1999999999999999E-3</v>
      </c>
      <c r="J98" s="60"/>
      <c r="K98" s="60" t="s">
        <v>127</v>
      </c>
      <c r="L98" s="60">
        <v>1.18211395</v>
      </c>
      <c r="M98" s="60">
        <v>0.53310057</v>
      </c>
      <c r="N98" s="46">
        <v>0.33657425000000002</v>
      </c>
      <c r="S98" s="20"/>
      <c r="T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 spans="1:35" x14ac:dyDescent="0.25">
      <c r="A99" s="413" t="s">
        <v>105</v>
      </c>
      <c r="B99" s="413">
        <v>1.142317E-2</v>
      </c>
      <c r="C99" s="413">
        <v>8.7574000000000003E-3</v>
      </c>
      <c r="D99" s="413">
        <v>6.8470500000000004E-3</v>
      </c>
      <c r="E99" s="413"/>
      <c r="F99" s="413" t="s">
        <v>209</v>
      </c>
      <c r="G99" s="413">
        <v>1.03243E-2</v>
      </c>
      <c r="H99" s="413">
        <v>2.153E-3</v>
      </c>
      <c r="I99" s="413">
        <v>1.0950000000000001E-3</v>
      </c>
      <c r="J99" s="413"/>
      <c r="K99" s="413" t="s">
        <v>200</v>
      </c>
      <c r="L99" s="413">
        <v>0.42352090000000003</v>
      </c>
      <c r="M99" s="413">
        <v>1.32917E-2</v>
      </c>
      <c r="N99" s="419">
        <v>0.32971060999999996</v>
      </c>
      <c r="S99" s="20"/>
      <c r="T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 spans="1:35" x14ac:dyDescent="0.25">
      <c r="A100" s="60" t="s">
        <v>137</v>
      </c>
      <c r="B100" s="60">
        <v>0.14125036999999999</v>
      </c>
      <c r="C100" s="60">
        <v>7.9682099999999999E-3</v>
      </c>
      <c r="D100" s="60">
        <v>6.7289300000000002E-3</v>
      </c>
      <c r="E100" s="60"/>
      <c r="F100" s="60" t="s">
        <v>194</v>
      </c>
      <c r="G100" s="60">
        <v>1.6999999999999999E-3</v>
      </c>
      <c r="H100" s="60">
        <v>3.8099800000000001E-3</v>
      </c>
      <c r="I100" s="60">
        <v>8.3000000000000001E-4</v>
      </c>
      <c r="J100" s="60"/>
      <c r="K100" s="60" t="s">
        <v>72</v>
      </c>
      <c r="L100" s="60">
        <v>1.1000000000000001E-3</v>
      </c>
      <c r="M100" s="60">
        <v>0</v>
      </c>
      <c r="N100" s="46">
        <v>0.31324667</v>
      </c>
      <c r="S100" s="20"/>
      <c r="T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 spans="1:35" x14ac:dyDescent="0.25">
      <c r="A101" s="413" t="s">
        <v>70</v>
      </c>
      <c r="B101" s="413">
        <v>2.6236999999999996E-3</v>
      </c>
      <c r="C101" s="413">
        <v>0</v>
      </c>
      <c r="D101" s="413">
        <v>5.8859999999999997E-3</v>
      </c>
      <c r="E101" s="413"/>
      <c r="F101" s="413" t="s">
        <v>205</v>
      </c>
      <c r="G101" s="413">
        <v>6.809400000000001E-4</v>
      </c>
      <c r="H101" s="413">
        <v>1E-3</v>
      </c>
      <c r="I101" s="413">
        <v>8.0000000000000004E-4</v>
      </c>
      <c r="J101" s="413"/>
      <c r="K101" s="413" t="s">
        <v>144</v>
      </c>
      <c r="L101" s="413">
        <v>4.817391E-2</v>
      </c>
      <c r="M101" s="413">
        <v>0.12682594999999999</v>
      </c>
      <c r="N101" s="419">
        <v>0.30647993000000001</v>
      </c>
      <c r="S101" s="20"/>
      <c r="T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 spans="1:35" x14ac:dyDescent="0.25">
      <c r="A102" s="60" t="s">
        <v>106</v>
      </c>
      <c r="B102" s="60">
        <v>8.718824E-2</v>
      </c>
      <c r="C102" s="60">
        <v>2.5007300000000001E-3</v>
      </c>
      <c r="D102" s="60">
        <v>5.1675499999999999E-3</v>
      </c>
      <c r="E102" s="60"/>
      <c r="F102" s="60" t="s">
        <v>177</v>
      </c>
      <c r="G102" s="60">
        <v>0</v>
      </c>
      <c r="H102" s="60">
        <v>8.0999080000000001E-2</v>
      </c>
      <c r="I102" s="60">
        <v>7.3499999999999998E-4</v>
      </c>
      <c r="J102" s="60"/>
      <c r="K102" s="60" t="s">
        <v>214</v>
      </c>
      <c r="L102" s="60">
        <v>0.58452625999999996</v>
      </c>
      <c r="M102" s="60">
        <v>0.23191792999999999</v>
      </c>
      <c r="N102" s="46">
        <v>0.26691403000000002</v>
      </c>
      <c r="S102" s="20"/>
      <c r="T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 spans="1:35" x14ac:dyDescent="0.25">
      <c r="A103" s="413" t="s">
        <v>120</v>
      </c>
      <c r="B103" s="413">
        <v>0.13445499999999999</v>
      </c>
      <c r="C103" s="413">
        <v>2.1930000000000001E-3</v>
      </c>
      <c r="D103" s="413">
        <v>5.0531000000000005E-3</v>
      </c>
      <c r="E103" s="413"/>
      <c r="F103" s="413" t="s">
        <v>26</v>
      </c>
      <c r="G103" s="413">
        <v>1.0000000000000001E-5</v>
      </c>
      <c r="H103" s="413">
        <v>0</v>
      </c>
      <c r="I103" s="413">
        <v>6.8999999999999997E-4</v>
      </c>
      <c r="J103" s="413"/>
      <c r="K103" s="413" t="s">
        <v>93</v>
      </c>
      <c r="L103" s="413">
        <v>10.6956604</v>
      </c>
      <c r="M103" s="413">
        <v>9.9420759999999997E-2</v>
      </c>
      <c r="N103" s="419">
        <v>0.25869134999999999</v>
      </c>
      <c r="S103" s="20"/>
      <c r="T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 spans="1:35" x14ac:dyDescent="0.25">
      <c r="A104" s="60" t="s">
        <v>68</v>
      </c>
      <c r="B104" s="60">
        <v>0</v>
      </c>
      <c r="C104" s="60">
        <v>2.7121100000000002E-3</v>
      </c>
      <c r="D104" s="60">
        <v>4.4999999999999997E-3</v>
      </c>
      <c r="E104" s="60"/>
      <c r="F104" s="60" t="s">
        <v>84</v>
      </c>
      <c r="G104" s="60">
        <v>0</v>
      </c>
      <c r="H104" s="60">
        <v>5.0000000000000002E-5</v>
      </c>
      <c r="I104" s="60">
        <v>5.2300000000000003E-4</v>
      </c>
      <c r="J104" s="60"/>
      <c r="K104" s="60" t="s">
        <v>158</v>
      </c>
      <c r="L104" s="60">
        <v>0.44814913000000001</v>
      </c>
      <c r="M104" s="60">
        <v>0.64928781000000002</v>
      </c>
      <c r="N104" s="46">
        <v>0.25712900999999999</v>
      </c>
      <c r="S104" s="20"/>
      <c r="T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 spans="1:35" x14ac:dyDescent="0.25">
      <c r="A105" s="60" t="s">
        <v>196</v>
      </c>
      <c r="B105" s="60">
        <v>4.1462039999999999E-2</v>
      </c>
      <c r="C105" s="60">
        <v>1.3481969999999999E-2</v>
      </c>
      <c r="D105" s="60">
        <v>3.8523400000000001E-3</v>
      </c>
      <c r="E105" s="60"/>
      <c r="F105" s="60" t="s">
        <v>93</v>
      </c>
      <c r="G105" s="60">
        <v>0</v>
      </c>
      <c r="H105" s="60">
        <v>0</v>
      </c>
      <c r="I105" s="60">
        <v>5.0000000000000001E-4</v>
      </c>
      <c r="J105" s="60"/>
      <c r="K105" s="60" t="s">
        <v>164</v>
      </c>
      <c r="L105" s="60">
        <v>2.102735E-2</v>
      </c>
      <c r="M105" s="60">
        <v>7.7650280000000002E-2</v>
      </c>
      <c r="N105" s="46">
        <v>0.24505222000000002</v>
      </c>
      <c r="S105" s="20"/>
      <c r="T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x14ac:dyDescent="0.25">
      <c r="A106" s="413" t="s">
        <v>198</v>
      </c>
      <c r="B106" s="413">
        <v>0.29524423999999999</v>
      </c>
      <c r="C106" s="413">
        <v>0.19299211999999999</v>
      </c>
      <c r="D106" s="413">
        <v>3.8341199999999999E-3</v>
      </c>
      <c r="E106" s="413"/>
      <c r="F106" s="413" t="s">
        <v>190</v>
      </c>
      <c r="G106" s="413">
        <v>4.7300000000000002E-2</v>
      </c>
      <c r="H106" s="413">
        <v>3.9887110000000003E-2</v>
      </c>
      <c r="I106" s="413">
        <v>4.9700000000000005E-4</v>
      </c>
      <c r="J106" s="413"/>
      <c r="K106" s="413" t="s">
        <v>207</v>
      </c>
      <c r="L106" s="413">
        <v>0.40420663000000001</v>
      </c>
      <c r="M106" s="413">
        <v>0.39019553999999995</v>
      </c>
      <c r="N106" s="419">
        <v>0.23273057</v>
      </c>
      <c r="S106" s="20"/>
      <c r="T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 spans="1:35" x14ac:dyDescent="0.25">
      <c r="A107" s="60" t="s">
        <v>207</v>
      </c>
      <c r="B107" s="60">
        <v>1.068998E-2</v>
      </c>
      <c r="C107" s="60">
        <v>2.8603730000000001E-2</v>
      </c>
      <c r="D107" s="60">
        <v>3.7545199999999999E-3</v>
      </c>
      <c r="E107" s="60"/>
      <c r="F107" s="60" t="s">
        <v>120</v>
      </c>
      <c r="G107" s="60">
        <v>2.6499899999999996E-3</v>
      </c>
      <c r="H107" s="60">
        <v>5.9999999999999995E-4</v>
      </c>
      <c r="I107" s="60">
        <v>4.2000000000000002E-4</v>
      </c>
      <c r="J107" s="60"/>
      <c r="K107" s="60" t="s">
        <v>182</v>
      </c>
      <c r="L107" s="60">
        <v>5.3133710000000001E-2</v>
      </c>
      <c r="M107" s="60">
        <v>6.7303119999999994E-2</v>
      </c>
      <c r="N107" s="46">
        <v>0.23186410000000002</v>
      </c>
      <c r="S107" s="20"/>
      <c r="T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 spans="1:35" x14ac:dyDescent="0.25">
      <c r="A108" s="413" t="s">
        <v>88</v>
      </c>
      <c r="B108" s="413">
        <v>1.3134409999999999E-2</v>
      </c>
      <c r="C108" s="413">
        <v>6.5252420500000001</v>
      </c>
      <c r="D108" s="413">
        <v>3.4492899999999998E-3</v>
      </c>
      <c r="E108" s="413"/>
      <c r="F108" s="413" t="s">
        <v>193</v>
      </c>
      <c r="G108" s="413">
        <v>0</v>
      </c>
      <c r="H108" s="413">
        <v>0.16490315999999999</v>
      </c>
      <c r="I108" s="413">
        <v>3.9800000000000002E-4</v>
      </c>
      <c r="J108" s="413"/>
      <c r="K108" s="413" t="s">
        <v>166</v>
      </c>
      <c r="L108" s="413">
        <v>0.29246699999999998</v>
      </c>
      <c r="M108" s="413">
        <v>0.29013059999999996</v>
      </c>
      <c r="N108" s="419">
        <v>0.23147181</v>
      </c>
      <c r="S108" s="20"/>
      <c r="T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x14ac:dyDescent="0.25">
      <c r="A109" s="60" t="s">
        <v>16</v>
      </c>
      <c r="B109" s="60">
        <v>0</v>
      </c>
      <c r="C109" s="60">
        <v>2.395127E-2</v>
      </c>
      <c r="D109" s="60">
        <v>3.1189E-3</v>
      </c>
      <c r="E109" s="60"/>
      <c r="F109" s="60" t="s">
        <v>95</v>
      </c>
      <c r="G109" s="60">
        <v>4.0099999999999999E-4</v>
      </c>
      <c r="H109" s="60">
        <v>0.17051368</v>
      </c>
      <c r="I109" s="60">
        <v>3.9091000000000001E-4</v>
      </c>
      <c r="J109" s="60"/>
      <c r="K109" s="60" t="s">
        <v>12</v>
      </c>
      <c r="L109" s="60">
        <v>0</v>
      </c>
      <c r="M109" s="60">
        <v>0.15426881000000001</v>
      </c>
      <c r="N109" s="46">
        <v>0.22576228000000001</v>
      </c>
      <c r="S109" s="20"/>
      <c r="T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35" x14ac:dyDescent="0.25">
      <c r="A110" s="413" t="s">
        <v>7</v>
      </c>
      <c r="B110" s="413">
        <v>0</v>
      </c>
      <c r="C110" s="413">
        <v>5.1840000000000002E-3</v>
      </c>
      <c r="D110" s="413">
        <v>2.9495999999999997E-3</v>
      </c>
      <c r="E110" s="413"/>
      <c r="F110" s="413" t="s">
        <v>119</v>
      </c>
      <c r="G110" s="413">
        <v>3.015986E-2</v>
      </c>
      <c r="H110" s="413">
        <v>4.0852900000000001E-3</v>
      </c>
      <c r="I110" s="413">
        <v>3.4499999999999998E-4</v>
      </c>
      <c r="J110" s="413"/>
      <c r="K110" s="413" t="s">
        <v>69</v>
      </c>
      <c r="L110" s="413">
        <v>0</v>
      </c>
      <c r="M110" s="413">
        <v>0</v>
      </c>
      <c r="N110" s="419">
        <v>0.21219251</v>
      </c>
      <c r="S110" s="20"/>
      <c r="T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x14ac:dyDescent="0.25">
      <c r="A111" s="60" t="s">
        <v>73</v>
      </c>
      <c r="B111" s="60">
        <v>1.3262999999999999E-3</v>
      </c>
      <c r="C111" s="60">
        <v>1.46E-4</v>
      </c>
      <c r="D111" s="60">
        <v>1.76713E-3</v>
      </c>
      <c r="E111" s="60"/>
      <c r="F111" s="60" t="s">
        <v>75</v>
      </c>
      <c r="G111" s="60">
        <v>2.0000000000000001E-4</v>
      </c>
      <c r="H111" s="60">
        <v>7.0244399999999999E-3</v>
      </c>
      <c r="I111" s="60">
        <v>2.9999999999999997E-4</v>
      </c>
      <c r="J111" s="60"/>
      <c r="K111" s="60" t="s">
        <v>112</v>
      </c>
      <c r="L111" s="60">
        <v>0.18772370999999999</v>
      </c>
      <c r="M111" s="60">
        <v>0.42918904999999996</v>
      </c>
      <c r="N111" s="46">
        <v>0.19487439000000001</v>
      </c>
      <c r="S111" s="20"/>
      <c r="T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 spans="1:35" x14ac:dyDescent="0.25">
      <c r="A112" s="60" t="s">
        <v>190</v>
      </c>
      <c r="B112" s="60">
        <v>1.657103E-2</v>
      </c>
      <c r="C112" s="60">
        <v>2.9480300000000004E-3</v>
      </c>
      <c r="D112" s="60">
        <v>1.3130399999999999E-3</v>
      </c>
      <c r="E112" s="60"/>
      <c r="F112" s="60" t="s">
        <v>14</v>
      </c>
      <c r="G112" s="60">
        <v>0</v>
      </c>
      <c r="H112" s="60">
        <v>5.5000000000000003E-4</v>
      </c>
      <c r="I112" s="60">
        <v>2.9E-4</v>
      </c>
      <c r="J112" s="60"/>
      <c r="K112" s="60" t="s">
        <v>95</v>
      </c>
      <c r="L112" s="60">
        <v>5.7581470000000003E-2</v>
      </c>
      <c r="M112" s="60">
        <v>3.2194389999999996E-2</v>
      </c>
      <c r="N112" s="46">
        <v>0.18714743</v>
      </c>
      <c r="S112" s="20"/>
      <c r="T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x14ac:dyDescent="0.25">
      <c r="A113" s="413" t="s">
        <v>187</v>
      </c>
      <c r="B113" s="413">
        <v>1.69644E-3</v>
      </c>
      <c r="C113" s="413">
        <v>0</v>
      </c>
      <c r="D113" s="413">
        <v>8.8962000000000004E-4</v>
      </c>
      <c r="E113" s="413"/>
      <c r="F113" s="413" t="s">
        <v>104</v>
      </c>
      <c r="G113" s="413">
        <v>6.11E-4</v>
      </c>
      <c r="H113" s="413">
        <v>5.800752E-2</v>
      </c>
      <c r="I113" s="413">
        <v>2.5999999999999998E-4</v>
      </c>
      <c r="J113" s="413"/>
      <c r="K113" s="413" t="s">
        <v>165</v>
      </c>
      <c r="L113" s="413">
        <v>4.7256879999999994E-2</v>
      </c>
      <c r="M113" s="413">
        <v>3.0789839999999999E-2</v>
      </c>
      <c r="N113" s="419">
        <v>0.17746951999999999</v>
      </c>
      <c r="S113" s="20"/>
      <c r="T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 spans="1:35" x14ac:dyDescent="0.25">
      <c r="A114" s="60" t="s">
        <v>131</v>
      </c>
      <c r="B114" s="60">
        <v>3.571709E-2</v>
      </c>
      <c r="C114" s="60">
        <v>0.15232471</v>
      </c>
      <c r="D114" s="60">
        <v>1.1865999999999999E-4</v>
      </c>
      <c r="E114" s="60"/>
      <c r="F114" s="60" t="s">
        <v>111</v>
      </c>
      <c r="G114" s="60">
        <v>2.9100000000000003E-4</v>
      </c>
      <c r="H114" s="60">
        <v>0</v>
      </c>
      <c r="I114" s="60">
        <v>2.1597000000000001E-4</v>
      </c>
      <c r="J114" s="60"/>
      <c r="K114" s="60" t="s">
        <v>120</v>
      </c>
      <c r="L114" s="60">
        <v>1.8681E-2</v>
      </c>
      <c r="M114" s="60">
        <v>5.1584410000000004E-2</v>
      </c>
      <c r="N114" s="46">
        <v>0.17488271999999999</v>
      </c>
      <c r="S114" s="20"/>
      <c r="T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 spans="1:35" x14ac:dyDescent="0.25">
      <c r="A115" s="413" t="s">
        <v>15</v>
      </c>
      <c r="B115" s="413">
        <v>0</v>
      </c>
      <c r="C115" s="413">
        <v>0</v>
      </c>
      <c r="D115" s="413">
        <v>7.5900000000000002E-5</v>
      </c>
      <c r="E115" s="413"/>
      <c r="F115" s="413" t="s">
        <v>23</v>
      </c>
      <c r="G115" s="413">
        <v>7.5299999999999998E-4</v>
      </c>
      <c r="H115" s="413">
        <v>2.0000000000000001E-4</v>
      </c>
      <c r="I115" s="413">
        <v>1.7699999999999999E-4</v>
      </c>
      <c r="J115" s="413"/>
      <c r="K115" s="413" t="s">
        <v>74</v>
      </c>
      <c r="L115" s="413">
        <v>2.8616547099999998</v>
      </c>
      <c r="M115" s="413">
        <v>2.9496999999999999E-2</v>
      </c>
      <c r="N115" s="419">
        <v>0.16968886</v>
      </c>
      <c r="S115" s="20"/>
      <c r="T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 spans="1:35" x14ac:dyDescent="0.25">
      <c r="A116" s="60" t="s">
        <v>212</v>
      </c>
      <c r="B116" s="60">
        <v>0</v>
      </c>
      <c r="C116" s="60">
        <v>4.653E-3</v>
      </c>
      <c r="D116" s="60">
        <v>5.0000000000000004E-6</v>
      </c>
      <c r="E116" s="60"/>
      <c r="F116" s="60" t="s">
        <v>88</v>
      </c>
      <c r="G116" s="60">
        <v>0</v>
      </c>
      <c r="H116" s="60">
        <v>4.6939999999999994E-5</v>
      </c>
      <c r="I116" s="60">
        <v>1.5799999999999999E-4</v>
      </c>
      <c r="J116" s="60"/>
      <c r="K116" s="60" t="s">
        <v>132</v>
      </c>
      <c r="L116" s="60">
        <v>6.2499009299999999</v>
      </c>
      <c r="M116" s="60">
        <v>0.96846363999999996</v>
      </c>
      <c r="N116" s="46">
        <v>0.14935599999999999</v>
      </c>
      <c r="S116" s="20"/>
      <c r="T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 spans="1:35" x14ac:dyDescent="0.25">
      <c r="A117" s="413" t="s">
        <v>0</v>
      </c>
      <c r="B117" s="413">
        <v>0</v>
      </c>
      <c r="C117" s="413">
        <v>0</v>
      </c>
      <c r="D117" s="413">
        <v>0</v>
      </c>
      <c r="E117" s="413"/>
      <c r="F117" s="413" t="s">
        <v>96</v>
      </c>
      <c r="G117" s="413">
        <v>2.3131599999999999E-3</v>
      </c>
      <c r="H117" s="413">
        <v>1.107174E-2</v>
      </c>
      <c r="I117" s="413">
        <v>1.5777E-4</v>
      </c>
      <c r="J117" s="413"/>
      <c r="K117" s="413" t="s">
        <v>355</v>
      </c>
      <c r="L117" s="413">
        <v>0.26452767999999999</v>
      </c>
      <c r="M117" s="413">
        <v>0.1150938</v>
      </c>
      <c r="N117" s="419">
        <v>0.14288000000000001</v>
      </c>
      <c r="S117" s="20"/>
      <c r="T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x14ac:dyDescent="0.25">
      <c r="A118" s="60" t="s">
        <v>2</v>
      </c>
      <c r="B118" s="60">
        <v>0</v>
      </c>
      <c r="C118" s="60">
        <v>7.4021179100000003</v>
      </c>
      <c r="D118" s="60">
        <v>0</v>
      </c>
      <c r="E118" s="60"/>
      <c r="F118" s="60" t="s">
        <v>168</v>
      </c>
      <c r="G118" s="60">
        <v>0.11320622999999999</v>
      </c>
      <c r="H118" s="60">
        <v>1.2016889999999999E-2</v>
      </c>
      <c r="I118" s="60">
        <v>1.4573E-4</v>
      </c>
      <c r="J118" s="60"/>
      <c r="K118" s="60" t="s">
        <v>134</v>
      </c>
      <c r="L118" s="60">
        <v>1.31007838</v>
      </c>
      <c r="M118" s="60">
        <v>0.29892716999999996</v>
      </c>
      <c r="N118" s="46">
        <v>0.13302661999999998</v>
      </c>
      <c r="S118" s="20"/>
      <c r="T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 spans="1:35" x14ac:dyDescent="0.25">
      <c r="A119" s="60" t="s">
        <v>3</v>
      </c>
      <c r="B119" s="60">
        <v>0</v>
      </c>
      <c r="C119" s="60">
        <v>0</v>
      </c>
      <c r="D119" s="60">
        <v>0</v>
      </c>
      <c r="E119" s="60"/>
      <c r="F119" s="60" t="s">
        <v>36</v>
      </c>
      <c r="G119" s="60">
        <v>0</v>
      </c>
      <c r="H119" s="60">
        <v>9.0000000000000006E-5</v>
      </c>
      <c r="I119" s="60">
        <v>1.3886000000000001E-4</v>
      </c>
      <c r="J119" s="60"/>
      <c r="K119" s="60" t="s">
        <v>184</v>
      </c>
      <c r="L119" s="60">
        <v>0.29765000000000003</v>
      </c>
      <c r="M119" s="60">
        <v>0.57219755000000005</v>
      </c>
      <c r="N119" s="46">
        <v>0.12514244999999999</v>
      </c>
      <c r="S119" s="20"/>
      <c r="T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 spans="1:35" x14ac:dyDescent="0.25">
      <c r="A120" s="413" t="s">
        <v>4</v>
      </c>
      <c r="B120" s="413">
        <v>0</v>
      </c>
      <c r="C120" s="413">
        <v>0</v>
      </c>
      <c r="D120" s="413">
        <v>0</v>
      </c>
      <c r="E120" s="413"/>
      <c r="F120" s="413" t="s">
        <v>17</v>
      </c>
      <c r="G120" s="413">
        <v>0</v>
      </c>
      <c r="H120" s="413">
        <v>2.9500000000000001E-4</v>
      </c>
      <c r="I120" s="413">
        <v>1E-4</v>
      </c>
      <c r="J120" s="413"/>
      <c r="K120" s="413" t="s">
        <v>57</v>
      </c>
      <c r="L120" s="413">
        <v>1.0158067500000001</v>
      </c>
      <c r="M120" s="413">
        <v>3.2945000000000002E-2</v>
      </c>
      <c r="N120" s="419">
        <v>0.12436</v>
      </c>
      <c r="S120" s="20"/>
      <c r="T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 spans="1:35" x14ac:dyDescent="0.25">
      <c r="A121" s="60" t="s">
        <v>5</v>
      </c>
      <c r="B121" s="60">
        <v>0</v>
      </c>
      <c r="C121" s="60">
        <v>2.0202000000000002E-4</v>
      </c>
      <c r="D121" s="60">
        <v>0</v>
      </c>
      <c r="E121" s="60"/>
      <c r="F121" s="60" t="s">
        <v>116</v>
      </c>
      <c r="G121" s="60">
        <v>1.0000000000000001E-5</v>
      </c>
      <c r="H121" s="60">
        <v>0</v>
      </c>
      <c r="I121" s="60">
        <v>1E-4</v>
      </c>
      <c r="J121" s="60"/>
      <c r="K121" s="60" t="s">
        <v>185</v>
      </c>
      <c r="L121" s="60">
        <v>0</v>
      </c>
      <c r="M121" s="60">
        <v>0.48399779999999998</v>
      </c>
      <c r="N121" s="46">
        <v>0.12006713000000001</v>
      </c>
      <c r="S121" s="20"/>
      <c r="T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x14ac:dyDescent="0.25">
      <c r="A122" s="413" t="s">
        <v>6</v>
      </c>
      <c r="B122" s="413">
        <v>0</v>
      </c>
      <c r="C122" s="413">
        <v>0</v>
      </c>
      <c r="D122" s="413">
        <v>0</v>
      </c>
      <c r="E122" s="413"/>
      <c r="F122" s="413" t="s">
        <v>108</v>
      </c>
      <c r="G122" s="413">
        <v>4.2839999999999996E-3</v>
      </c>
      <c r="H122" s="413">
        <v>0</v>
      </c>
      <c r="I122" s="413">
        <v>6.4999999999999994E-5</v>
      </c>
      <c r="J122" s="413"/>
      <c r="K122" s="413" t="s">
        <v>195</v>
      </c>
      <c r="L122" s="413">
        <v>1.2282131999999999</v>
      </c>
      <c r="M122" s="413">
        <v>0.32372803999999999</v>
      </c>
      <c r="N122" s="419">
        <v>0.11492713</v>
      </c>
      <c r="S122" s="20"/>
      <c r="T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 spans="1:35" x14ac:dyDescent="0.25">
      <c r="A123" s="60" t="s">
        <v>350</v>
      </c>
      <c r="B123" s="60">
        <v>0</v>
      </c>
      <c r="C123" s="60">
        <v>0</v>
      </c>
      <c r="D123" s="60">
        <v>0</v>
      </c>
      <c r="E123" s="60"/>
      <c r="F123" s="60" t="s">
        <v>5</v>
      </c>
      <c r="G123" s="60">
        <v>0</v>
      </c>
      <c r="H123" s="60">
        <v>0</v>
      </c>
      <c r="I123" s="60">
        <v>6.0000000000000002E-5</v>
      </c>
      <c r="J123" s="60"/>
      <c r="K123" s="60" t="s">
        <v>211</v>
      </c>
      <c r="L123" s="60">
        <v>0</v>
      </c>
      <c r="M123" s="60">
        <v>5.0000000000000001E-4</v>
      </c>
      <c r="N123" s="46">
        <v>0.11240856</v>
      </c>
      <c r="S123" s="20"/>
      <c r="T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 spans="1:35" x14ac:dyDescent="0.25">
      <c r="A124" s="413" t="s">
        <v>351</v>
      </c>
      <c r="B124" s="413">
        <v>0</v>
      </c>
      <c r="C124" s="413">
        <v>0</v>
      </c>
      <c r="D124" s="413">
        <v>0</v>
      </c>
      <c r="E124" s="413"/>
      <c r="F124" s="413" t="s">
        <v>20</v>
      </c>
      <c r="G124" s="413">
        <v>0</v>
      </c>
      <c r="H124" s="413">
        <v>6.0000000000000002E-5</v>
      </c>
      <c r="I124" s="413">
        <v>5.5999999999999999E-5</v>
      </c>
      <c r="J124" s="413"/>
      <c r="K124" s="413" t="s">
        <v>168</v>
      </c>
      <c r="L124" s="413">
        <v>9.7659120000000002E-2</v>
      </c>
      <c r="M124" s="413">
        <v>3.1524559600000002</v>
      </c>
      <c r="N124" s="419">
        <v>0.11090633999999999</v>
      </c>
      <c r="S124" s="20"/>
      <c r="T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 spans="1:35" x14ac:dyDescent="0.25">
      <c r="A125" s="60" t="s">
        <v>12</v>
      </c>
      <c r="B125" s="60">
        <v>0</v>
      </c>
      <c r="C125" s="60">
        <v>0</v>
      </c>
      <c r="D125" s="60">
        <v>0</v>
      </c>
      <c r="E125" s="60"/>
      <c r="F125" s="60" t="s">
        <v>201</v>
      </c>
      <c r="G125" s="60">
        <v>0</v>
      </c>
      <c r="H125" s="60">
        <v>0.13321</v>
      </c>
      <c r="I125" s="60">
        <v>5.0000000000000002E-5</v>
      </c>
      <c r="J125" s="60"/>
      <c r="K125" s="60" t="s">
        <v>82</v>
      </c>
      <c r="L125" s="60">
        <v>1.19277973</v>
      </c>
      <c r="M125" s="60">
        <v>6.6E-3</v>
      </c>
      <c r="N125" s="46">
        <v>9.2499999999999999E-2</v>
      </c>
      <c r="S125" s="20"/>
      <c r="T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 spans="1:35" x14ac:dyDescent="0.25">
      <c r="A126" s="60" t="s">
        <v>370</v>
      </c>
      <c r="B126" s="60">
        <v>0</v>
      </c>
      <c r="C126" s="60">
        <v>0</v>
      </c>
      <c r="D126" s="60">
        <v>0</v>
      </c>
      <c r="E126" s="60"/>
      <c r="F126" s="60" t="s">
        <v>74</v>
      </c>
      <c r="G126" s="60">
        <v>0</v>
      </c>
      <c r="H126" s="60">
        <v>0</v>
      </c>
      <c r="I126" s="60">
        <v>4.0000000000000003E-5</v>
      </c>
      <c r="J126" s="60"/>
      <c r="K126" s="60" t="s">
        <v>198</v>
      </c>
      <c r="L126" s="60">
        <v>9.8894140000000005E-2</v>
      </c>
      <c r="M126" s="60">
        <v>0.83401040000000004</v>
      </c>
      <c r="N126" s="46">
        <v>8.7522000000000003E-2</v>
      </c>
      <c r="S126" s="20"/>
      <c r="T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 spans="1:35" x14ac:dyDescent="0.25">
      <c r="A127" s="413" t="s">
        <v>13</v>
      </c>
      <c r="B127" s="413">
        <v>0</v>
      </c>
      <c r="C127" s="413">
        <v>3.4319999999999999E-4</v>
      </c>
      <c r="D127" s="413">
        <v>0</v>
      </c>
      <c r="E127" s="413"/>
      <c r="F127" s="413" t="s">
        <v>203</v>
      </c>
      <c r="G127" s="413">
        <v>0</v>
      </c>
      <c r="H127" s="413">
        <v>0</v>
      </c>
      <c r="I127" s="413">
        <v>3.4999999999999997E-5</v>
      </c>
      <c r="J127" s="413"/>
      <c r="K127" s="413" t="s">
        <v>16</v>
      </c>
      <c r="L127" s="413">
        <v>0.27271265</v>
      </c>
      <c r="M127" s="413">
        <v>2.0588000000000002</v>
      </c>
      <c r="N127" s="419">
        <v>8.2253000000000007E-2</v>
      </c>
      <c r="S127" s="20"/>
      <c r="T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 spans="1:35" x14ac:dyDescent="0.25">
      <c r="A128" s="60" t="s">
        <v>19</v>
      </c>
      <c r="B128" s="60">
        <v>0</v>
      </c>
      <c r="C128" s="60">
        <v>0</v>
      </c>
      <c r="D128" s="60">
        <v>0</v>
      </c>
      <c r="E128" s="60"/>
      <c r="F128" s="60" t="s">
        <v>73</v>
      </c>
      <c r="G128" s="60">
        <v>0</v>
      </c>
      <c r="H128" s="60">
        <v>2.5900000000000001E-4</v>
      </c>
      <c r="I128" s="60">
        <v>2.0999999999999999E-5</v>
      </c>
      <c r="J128" s="60"/>
      <c r="K128" s="60" t="s">
        <v>160</v>
      </c>
      <c r="L128" s="60">
        <v>0.10680002000000001</v>
      </c>
      <c r="M128" s="60">
        <v>0.36499886999999998</v>
      </c>
      <c r="N128" s="46">
        <v>8.1802380000000008E-2</v>
      </c>
      <c r="S128" s="20"/>
      <c r="T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 spans="1:35" x14ac:dyDescent="0.25">
      <c r="A129" s="413" t="s">
        <v>20</v>
      </c>
      <c r="B129" s="413">
        <v>0</v>
      </c>
      <c r="C129" s="413">
        <v>0</v>
      </c>
      <c r="D129" s="413">
        <v>0</v>
      </c>
      <c r="E129" s="413"/>
      <c r="F129" s="413" t="s">
        <v>25</v>
      </c>
      <c r="G129" s="413">
        <v>0</v>
      </c>
      <c r="H129" s="413">
        <v>0</v>
      </c>
      <c r="I129" s="413">
        <v>2.0000000000000002E-5</v>
      </c>
      <c r="J129" s="413"/>
      <c r="K129" s="413" t="s">
        <v>114</v>
      </c>
      <c r="L129" s="413">
        <v>0.10004368</v>
      </c>
      <c r="M129" s="413">
        <v>0.19204489000000002</v>
      </c>
      <c r="N129" s="419">
        <v>8.050903999999999E-2</v>
      </c>
      <c r="S129" s="20"/>
      <c r="T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 spans="1:35" x14ac:dyDescent="0.25">
      <c r="A130" s="60" t="s">
        <v>21</v>
      </c>
      <c r="B130" s="60">
        <v>0</v>
      </c>
      <c r="C130" s="60">
        <v>0</v>
      </c>
      <c r="D130" s="60">
        <v>0</v>
      </c>
      <c r="E130" s="60"/>
      <c r="F130" s="60" t="s">
        <v>123</v>
      </c>
      <c r="G130" s="60">
        <v>1.1002670000000001E-2</v>
      </c>
      <c r="H130" s="60">
        <v>0</v>
      </c>
      <c r="I130" s="60">
        <v>2.0000000000000002E-5</v>
      </c>
      <c r="J130" s="60"/>
      <c r="K130" s="60" t="s">
        <v>181</v>
      </c>
      <c r="L130" s="60">
        <v>0.17486409</v>
      </c>
      <c r="M130" s="60">
        <v>0.50908027</v>
      </c>
      <c r="N130" s="46">
        <v>7.9314399999999993E-2</v>
      </c>
      <c r="S130" s="20"/>
      <c r="T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x14ac:dyDescent="0.25">
      <c r="A131" s="413" t="s">
        <v>22</v>
      </c>
      <c r="B131" s="413">
        <v>0</v>
      </c>
      <c r="C131" s="413">
        <v>0</v>
      </c>
      <c r="D131" s="413">
        <v>0</v>
      </c>
      <c r="E131" s="413"/>
      <c r="F131" s="413" t="s">
        <v>132</v>
      </c>
      <c r="G131" s="413">
        <v>0.29365613000000002</v>
      </c>
      <c r="H131" s="413">
        <v>0.39039440999999997</v>
      </c>
      <c r="I131" s="413">
        <v>2.0000000000000002E-5</v>
      </c>
      <c r="J131" s="413"/>
      <c r="K131" s="413" t="s">
        <v>150</v>
      </c>
      <c r="L131" s="413">
        <v>0.20572520000000002</v>
      </c>
      <c r="M131" s="413">
        <v>3.4564350000000001E-2</v>
      </c>
      <c r="N131" s="419">
        <v>7.7658089999999999E-2</v>
      </c>
      <c r="S131" s="20"/>
      <c r="T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 spans="1:35" x14ac:dyDescent="0.25">
      <c r="A132" s="60" t="s">
        <v>23</v>
      </c>
      <c r="B132" s="60">
        <v>0</v>
      </c>
      <c r="C132" s="60">
        <v>0</v>
      </c>
      <c r="D132" s="60">
        <v>0</v>
      </c>
      <c r="E132" s="60"/>
      <c r="F132" s="60" t="s">
        <v>71</v>
      </c>
      <c r="G132" s="60">
        <v>0</v>
      </c>
      <c r="H132" s="60">
        <v>0</v>
      </c>
      <c r="I132" s="60">
        <v>1.9000000000000001E-5</v>
      </c>
      <c r="J132" s="60"/>
      <c r="K132" s="60" t="s">
        <v>100</v>
      </c>
      <c r="L132" s="60">
        <v>2.5442050000000001E-2</v>
      </c>
      <c r="M132" s="60">
        <v>1.4958600000000001E-2</v>
      </c>
      <c r="N132" s="46">
        <v>6.7096249999999996E-2</v>
      </c>
      <c r="S132" s="20"/>
      <c r="T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 spans="1:35" x14ac:dyDescent="0.25">
      <c r="A133" s="60" t="s">
        <v>347</v>
      </c>
      <c r="B133" s="60">
        <v>0</v>
      </c>
      <c r="C133" s="60">
        <v>0</v>
      </c>
      <c r="D133" s="60">
        <v>0</v>
      </c>
      <c r="E133" s="60"/>
      <c r="F133" s="60" t="s">
        <v>106</v>
      </c>
      <c r="G133" s="60">
        <v>1.4431629999999999E-2</v>
      </c>
      <c r="H133" s="60">
        <v>1.9449999999999999E-3</v>
      </c>
      <c r="I133" s="60">
        <v>1.5500000000000001E-5</v>
      </c>
      <c r="J133" s="60"/>
      <c r="K133" s="60" t="s">
        <v>6</v>
      </c>
      <c r="L133" s="60">
        <v>0.46861677000000002</v>
      </c>
      <c r="M133" s="60">
        <v>0.63403058000000001</v>
      </c>
      <c r="N133" s="46">
        <v>6.7064399999999996E-2</v>
      </c>
      <c r="S133" s="20"/>
      <c r="T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 spans="1:35" x14ac:dyDescent="0.25">
      <c r="A134" s="413" t="s">
        <v>24</v>
      </c>
      <c r="B134" s="413">
        <v>0</v>
      </c>
      <c r="C134" s="413">
        <v>0</v>
      </c>
      <c r="D134" s="413">
        <v>0</v>
      </c>
      <c r="E134" s="413"/>
      <c r="F134" s="413" t="s">
        <v>21</v>
      </c>
      <c r="G134" s="413">
        <v>0</v>
      </c>
      <c r="H134" s="413">
        <v>0</v>
      </c>
      <c r="I134" s="413">
        <v>1.0000000000000001E-5</v>
      </c>
      <c r="J134" s="413"/>
      <c r="K134" s="413" t="s">
        <v>685</v>
      </c>
      <c r="L134" s="413">
        <v>60.464054179999998</v>
      </c>
      <c r="M134" s="413">
        <v>90.106535379999997</v>
      </c>
      <c r="N134" s="419">
        <v>6.4621020000000001E-2</v>
      </c>
      <c r="S134" s="20"/>
      <c r="T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 spans="1:35" x14ac:dyDescent="0.25">
      <c r="A135" s="60" t="s">
        <v>25</v>
      </c>
      <c r="B135" s="60">
        <v>0</v>
      </c>
      <c r="C135" s="60">
        <v>0</v>
      </c>
      <c r="D135" s="60">
        <v>0</v>
      </c>
      <c r="E135" s="60"/>
      <c r="F135" s="60" t="s">
        <v>383</v>
      </c>
      <c r="G135" s="60">
        <v>0</v>
      </c>
      <c r="H135" s="60">
        <v>0</v>
      </c>
      <c r="I135" s="60">
        <v>1.0000000000000001E-5</v>
      </c>
      <c r="J135" s="60"/>
      <c r="K135" s="60" t="s">
        <v>123</v>
      </c>
      <c r="L135" s="60">
        <v>0.30016313999999999</v>
      </c>
      <c r="M135" s="60">
        <v>4.3602900000000002E-3</v>
      </c>
      <c r="N135" s="46">
        <v>5.5720120000000005E-2</v>
      </c>
      <c r="S135" s="20"/>
      <c r="T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 spans="1:35" x14ac:dyDescent="0.25">
      <c r="A136" s="413" t="s">
        <v>26</v>
      </c>
      <c r="B136" s="413">
        <v>0</v>
      </c>
      <c r="C136" s="413">
        <v>1.4951099999999998E-3</v>
      </c>
      <c r="D136" s="413">
        <v>0</v>
      </c>
      <c r="E136" s="413"/>
      <c r="F136" s="413" t="s">
        <v>117</v>
      </c>
      <c r="G136" s="413">
        <v>0.10009999999999999</v>
      </c>
      <c r="H136" s="413">
        <v>1.521875E-2</v>
      </c>
      <c r="I136" s="413">
        <v>1.0000000000000001E-5</v>
      </c>
      <c r="J136" s="413"/>
      <c r="K136" s="413" t="s">
        <v>121</v>
      </c>
      <c r="L136" s="413">
        <v>1.0726579999999999</v>
      </c>
      <c r="M136" s="413">
        <v>0.79364999999999997</v>
      </c>
      <c r="N136" s="419">
        <v>4.9599999999999998E-2</v>
      </c>
      <c r="S136" s="20"/>
      <c r="T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25">
      <c r="A137" s="60" t="s">
        <v>384</v>
      </c>
      <c r="B137" s="60">
        <v>0</v>
      </c>
      <c r="C137" s="60">
        <v>0</v>
      </c>
      <c r="D137" s="60">
        <v>0</v>
      </c>
      <c r="E137" s="60"/>
      <c r="F137" s="60" t="s">
        <v>1</v>
      </c>
      <c r="G137" s="60">
        <v>0</v>
      </c>
      <c r="H137" s="60">
        <v>0.80411619999999995</v>
      </c>
      <c r="I137" s="60">
        <v>0</v>
      </c>
      <c r="J137" s="60"/>
      <c r="K137" s="60" t="s">
        <v>49</v>
      </c>
      <c r="L137" s="60">
        <v>6.8306000000000006E-2</v>
      </c>
      <c r="M137" s="60">
        <v>0.13634599999999999</v>
      </c>
      <c r="N137" s="46">
        <v>4.5710000000000001E-2</v>
      </c>
      <c r="S137" s="20"/>
      <c r="T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 spans="1:35" x14ac:dyDescent="0.25">
      <c r="A138" s="413" t="s">
        <v>400</v>
      </c>
      <c r="B138" s="413">
        <v>0</v>
      </c>
      <c r="C138" s="413">
        <v>0</v>
      </c>
      <c r="D138" s="413">
        <v>0</v>
      </c>
      <c r="E138" s="413"/>
      <c r="F138" s="413" t="s">
        <v>4</v>
      </c>
      <c r="G138" s="413">
        <v>1.5E-3</v>
      </c>
      <c r="H138" s="413">
        <v>4.6100000000000004E-3</v>
      </c>
      <c r="I138" s="413">
        <v>0</v>
      </c>
      <c r="J138" s="413"/>
      <c r="K138" s="413" t="s">
        <v>147</v>
      </c>
      <c r="L138" s="413">
        <v>4.2045589999999994E-2</v>
      </c>
      <c r="M138" s="413">
        <v>0.85244611999999997</v>
      </c>
      <c r="N138" s="419">
        <v>4.4801199999999999E-2</v>
      </c>
      <c r="S138" s="20"/>
      <c r="T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 spans="1:35" x14ac:dyDescent="0.25">
      <c r="A139" s="60" t="s">
        <v>33</v>
      </c>
      <c r="B139" s="60">
        <v>0</v>
      </c>
      <c r="C139" s="60">
        <v>0</v>
      </c>
      <c r="D139" s="60">
        <v>0</v>
      </c>
      <c r="E139" s="60"/>
      <c r="F139" s="60" t="s">
        <v>6</v>
      </c>
      <c r="G139" s="60">
        <v>0</v>
      </c>
      <c r="H139" s="60">
        <v>0</v>
      </c>
      <c r="I139" s="60">
        <v>0</v>
      </c>
      <c r="J139" s="60"/>
      <c r="K139" s="60" t="s">
        <v>31</v>
      </c>
      <c r="L139" s="60">
        <v>0</v>
      </c>
      <c r="M139" s="60">
        <v>0.24607000000000001</v>
      </c>
      <c r="N139" s="46">
        <v>4.4560000000000002E-2</v>
      </c>
      <c r="S139" s="20"/>
      <c r="T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 spans="1:35" x14ac:dyDescent="0.25">
      <c r="A140" s="60" t="s">
        <v>383</v>
      </c>
      <c r="B140" s="60">
        <v>0</v>
      </c>
      <c r="C140" s="60">
        <v>0</v>
      </c>
      <c r="D140" s="60">
        <v>0</v>
      </c>
      <c r="E140" s="60"/>
      <c r="F140" s="60" t="s">
        <v>350</v>
      </c>
      <c r="G140" s="60">
        <v>0</v>
      </c>
      <c r="H140" s="60">
        <v>0</v>
      </c>
      <c r="I140" s="60">
        <v>0</v>
      </c>
      <c r="J140" s="60"/>
      <c r="K140" s="60" t="s">
        <v>66</v>
      </c>
      <c r="L140" s="60">
        <v>2.4605930000000002E-2</v>
      </c>
      <c r="M140" s="60">
        <v>3.2039999999999998E-3</v>
      </c>
      <c r="N140" s="46">
        <v>4.1739129999999999E-2</v>
      </c>
      <c r="S140" s="20"/>
      <c r="T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5" x14ac:dyDescent="0.25">
      <c r="A141" s="413" t="s">
        <v>34</v>
      </c>
      <c r="B141" s="413">
        <v>5.8242600000000004E-3</v>
      </c>
      <c r="C141" s="413">
        <v>0</v>
      </c>
      <c r="D141" s="413">
        <v>0</v>
      </c>
      <c r="E141" s="413"/>
      <c r="F141" s="413" t="s">
        <v>7</v>
      </c>
      <c r="G141" s="413">
        <v>0</v>
      </c>
      <c r="H141" s="413">
        <v>0</v>
      </c>
      <c r="I141" s="413">
        <v>0</v>
      </c>
      <c r="J141" s="413"/>
      <c r="K141" s="413" t="s">
        <v>21</v>
      </c>
      <c r="L141" s="413">
        <v>2.4703650000000001E-2</v>
      </c>
      <c r="M141" s="413">
        <v>0</v>
      </c>
      <c r="N141" s="419">
        <v>4.0818E-2</v>
      </c>
      <c r="S141" s="20"/>
      <c r="T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5" x14ac:dyDescent="0.25">
      <c r="A142" s="60" t="s">
        <v>37</v>
      </c>
      <c r="B142" s="60">
        <v>2.9999999999999997E-4</v>
      </c>
      <c r="C142" s="60">
        <v>1.60155E-3</v>
      </c>
      <c r="D142" s="60">
        <v>0</v>
      </c>
      <c r="E142" s="60"/>
      <c r="F142" s="60" t="s">
        <v>351</v>
      </c>
      <c r="G142" s="60">
        <v>0</v>
      </c>
      <c r="H142" s="60">
        <v>0</v>
      </c>
      <c r="I142" s="60">
        <v>0</v>
      </c>
      <c r="J142" s="60"/>
      <c r="K142" s="60" t="s">
        <v>136</v>
      </c>
      <c r="L142" s="60">
        <v>0.88048424000000003</v>
      </c>
      <c r="M142" s="60">
        <v>8.4569999999999992E-3</v>
      </c>
      <c r="N142" s="46">
        <v>3.8987089999999995E-2</v>
      </c>
      <c r="S142" s="20"/>
      <c r="T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5" x14ac:dyDescent="0.25">
      <c r="A143" s="413" t="s">
        <v>40</v>
      </c>
      <c r="B143" s="413">
        <v>0</v>
      </c>
      <c r="C143" s="413">
        <v>0</v>
      </c>
      <c r="D143" s="413">
        <v>0</v>
      </c>
      <c r="E143" s="413"/>
      <c r="F143" s="413" t="s">
        <v>12</v>
      </c>
      <c r="G143" s="413">
        <v>1.0000000000000001E-5</v>
      </c>
      <c r="H143" s="413">
        <v>0</v>
      </c>
      <c r="I143" s="413">
        <v>0</v>
      </c>
      <c r="J143" s="413"/>
      <c r="K143" s="413" t="s">
        <v>197</v>
      </c>
      <c r="L143" s="413">
        <v>5.002438E-2</v>
      </c>
      <c r="M143" s="413">
        <v>1.8790999999999999E-2</v>
      </c>
      <c r="N143" s="419">
        <v>3.7453119999999999E-2</v>
      </c>
      <c r="S143" s="20"/>
      <c r="T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 spans="1:35" x14ac:dyDescent="0.25">
      <c r="A144" s="60" t="s">
        <v>41</v>
      </c>
      <c r="B144" s="60">
        <v>6.89429E-3</v>
      </c>
      <c r="C144" s="60">
        <v>0</v>
      </c>
      <c r="D144" s="60">
        <v>0</v>
      </c>
      <c r="E144" s="60"/>
      <c r="F144" s="60" t="s">
        <v>370</v>
      </c>
      <c r="G144" s="60">
        <v>0</v>
      </c>
      <c r="H144" s="60">
        <v>0</v>
      </c>
      <c r="I144" s="60">
        <v>0</v>
      </c>
      <c r="J144" s="60"/>
      <c r="K144" s="60" t="s">
        <v>149</v>
      </c>
      <c r="L144" s="60">
        <v>1.7904009999999998E-2</v>
      </c>
      <c r="M144" s="60">
        <v>1.154059E-2</v>
      </c>
      <c r="N144" s="46">
        <v>3.5850639999999996E-2</v>
      </c>
      <c r="S144" s="20"/>
      <c r="T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 spans="1:35" x14ac:dyDescent="0.25">
      <c r="A145" s="413" t="s">
        <v>42</v>
      </c>
      <c r="B145" s="413">
        <v>0</v>
      </c>
      <c r="C145" s="413">
        <v>0</v>
      </c>
      <c r="D145" s="413">
        <v>0</v>
      </c>
      <c r="E145" s="413"/>
      <c r="F145" s="413" t="s">
        <v>13</v>
      </c>
      <c r="G145" s="413">
        <v>0</v>
      </c>
      <c r="H145" s="413">
        <v>0</v>
      </c>
      <c r="I145" s="413">
        <v>0</v>
      </c>
      <c r="J145" s="413"/>
      <c r="K145" s="413" t="s">
        <v>89</v>
      </c>
      <c r="L145" s="413">
        <v>0.25369083999999997</v>
      </c>
      <c r="M145" s="413">
        <v>8.3890850000000003E-2</v>
      </c>
      <c r="N145" s="419">
        <v>3.579044E-2</v>
      </c>
      <c r="S145" s="20"/>
      <c r="T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 spans="1:35" x14ac:dyDescent="0.25">
      <c r="A146" s="60" t="s">
        <v>46</v>
      </c>
      <c r="B146" s="60">
        <v>0</v>
      </c>
      <c r="C146" s="60">
        <v>0</v>
      </c>
      <c r="D146" s="60">
        <v>0</v>
      </c>
      <c r="E146" s="60"/>
      <c r="F146" s="60" t="s">
        <v>16</v>
      </c>
      <c r="G146" s="60">
        <v>0</v>
      </c>
      <c r="H146" s="60">
        <v>0</v>
      </c>
      <c r="I146" s="60">
        <v>0</v>
      </c>
      <c r="J146" s="60"/>
      <c r="K146" s="60" t="s">
        <v>193</v>
      </c>
      <c r="L146" s="60">
        <v>2.8680000000000001E-2</v>
      </c>
      <c r="M146" s="60">
        <v>0.20628145000000001</v>
      </c>
      <c r="N146" s="46">
        <v>2.8930999999999998E-2</v>
      </c>
      <c r="S146" s="20"/>
      <c r="T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 spans="1:35" x14ac:dyDescent="0.25">
      <c r="A147" s="60" t="s">
        <v>47</v>
      </c>
      <c r="B147" s="60">
        <v>0</v>
      </c>
      <c r="C147" s="60">
        <v>0</v>
      </c>
      <c r="D147" s="60">
        <v>0</v>
      </c>
      <c r="E147" s="60"/>
      <c r="F147" s="60" t="s">
        <v>347</v>
      </c>
      <c r="G147" s="60">
        <v>0</v>
      </c>
      <c r="H147" s="60">
        <v>0</v>
      </c>
      <c r="I147" s="60">
        <v>0</v>
      </c>
      <c r="J147" s="60"/>
      <c r="K147" s="60" t="s">
        <v>107</v>
      </c>
      <c r="L147" s="60">
        <v>7.4086050000000001E-2</v>
      </c>
      <c r="M147" s="60">
        <v>1.644779E-2</v>
      </c>
      <c r="N147" s="46">
        <v>2.8405099999999999E-2</v>
      </c>
      <c r="S147" s="20"/>
      <c r="T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 spans="1:35" x14ac:dyDescent="0.25">
      <c r="A148" s="413" t="s">
        <v>49</v>
      </c>
      <c r="B148" s="413">
        <v>0</v>
      </c>
      <c r="C148" s="413">
        <v>0</v>
      </c>
      <c r="D148" s="413">
        <v>0</v>
      </c>
      <c r="E148" s="413"/>
      <c r="F148" s="413" t="s">
        <v>384</v>
      </c>
      <c r="G148" s="413">
        <v>0</v>
      </c>
      <c r="H148" s="413">
        <v>0</v>
      </c>
      <c r="I148" s="413">
        <v>0</v>
      </c>
      <c r="J148" s="413"/>
      <c r="K148" s="413" t="s">
        <v>213</v>
      </c>
      <c r="L148" s="413">
        <v>2.1574409999999999E-2</v>
      </c>
      <c r="M148" s="413">
        <v>2.0121900000000002E-2</v>
      </c>
      <c r="N148" s="419">
        <v>2.5291029999999999E-2</v>
      </c>
      <c r="S148" s="20"/>
      <c r="T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x14ac:dyDescent="0.25">
      <c r="A149" s="60" t="s">
        <v>57</v>
      </c>
      <c r="B149" s="60">
        <v>0</v>
      </c>
      <c r="C149" s="60">
        <v>4.624462E-2</v>
      </c>
      <c r="D149" s="60">
        <v>0</v>
      </c>
      <c r="E149" s="60"/>
      <c r="F149" s="60" t="s">
        <v>400</v>
      </c>
      <c r="G149" s="60">
        <v>0</v>
      </c>
      <c r="H149" s="60">
        <v>0</v>
      </c>
      <c r="I149" s="60">
        <v>0</v>
      </c>
      <c r="J149" s="60"/>
      <c r="K149" s="60" t="s">
        <v>53</v>
      </c>
      <c r="L149" s="60">
        <v>0</v>
      </c>
      <c r="M149" s="60">
        <v>0</v>
      </c>
      <c r="N149" s="46">
        <v>2.4382069999999999E-2</v>
      </c>
      <c r="S149" s="20"/>
      <c r="T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 spans="1:35" x14ac:dyDescent="0.25">
      <c r="A150" s="413" t="s">
        <v>60</v>
      </c>
      <c r="B150" s="413">
        <v>27.503344260000002</v>
      </c>
      <c r="C150" s="413">
        <v>0</v>
      </c>
      <c r="D150" s="413">
        <v>0</v>
      </c>
      <c r="E150" s="413"/>
      <c r="F150" s="413" t="s">
        <v>33</v>
      </c>
      <c r="G150" s="413">
        <v>0</v>
      </c>
      <c r="H150" s="413">
        <v>0</v>
      </c>
      <c r="I150" s="413">
        <v>0</v>
      </c>
      <c r="J150" s="413"/>
      <c r="K150" s="413" t="s">
        <v>196</v>
      </c>
      <c r="L150" s="413">
        <v>0.26540775</v>
      </c>
      <c r="M150" s="413">
        <v>0.97729995999999997</v>
      </c>
      <c r="N150" s="419">
        <v>2.16025E-2</v>
      </c>
      <c r="S150" s="20"/>
      <c r="T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 spans="1:35" x14ac:dyDescent="0.25">
      <c r="A151" s="60" t="s">
        <v>61</v>
      </c>
      <c r="B151" s="60">
        <v>0</v>
      </c>
      <c r="C151" s="60">
        <v>0</v>
      </c>
      <c r="D151" s="60">
        <v>0</v>
      </c>
      <c r="E151" s="60"/>
      <c r="F151" s="60" t="s">
        <v>34</v>
      </c>
      <c r="G151" s="60">
        <v>0</v>
      </c>
      <c r="H151" s="60">
        <v>0</v>
      </c>
      <c r="I151" s="60">
        <v>0</v>
      </c>
      <c r="J151" s="60"/>
      <c r="K151" s="60" t="s">
        <v>161</v>
      </c>
      <c r="L151" s="60">
        <v>0.59062133999999999</v>
      </c>
      <c r="M151" s="60">
        <v>0.17301151000000001</v>
      </c>
      <c r="N151" s="46">
        <v>2.1517919999999999E-2</v>
      </c>
      <c r="S151" s="20"/>
      <c r="T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 spans="1:35" x14ac:dyDescent="0.25">
      <c r="A152" s="413" t="s">
        <v>63</v>
      </c>
      <c r="B152" s="413">
        <v>0</v>
      </c>
      <c r="C152" s="413">
        <v>0</v>
      </c>
      <c r="D152" s="413">
        <v>0</v>
      </c>
      <c r="E152" s="413"/>
      <c r="F152" s="413" t="s">
        <v>35</v>
      </c>
      <c r="G152" s="413">
        <v>0</v>
      </c>
      <c r="H152" s="413">
        <v>0</v>
      </c>
      <c r="I152" s="413">
        <v>0</v>
      </c>
      <c r="J152" s="413"/>
      <c r="K152" s="413" t="s">
        <v>169</v>
      </c>
      <c r="L152" s="413">
        <v>1.2086E-2</v>
      </c>
      <c r="M152" s="413">
        <v>3.5732019999999996E-2</v>
      </c>
      <c r="N152" s="419">
        <v>1.9928000000000001E-2</v>
      </c>
      <c r="S152" s="20"/>
      <c r="T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x14ac:dyDescent="0.25">
      <c r="A153" s="60" t="s">
        <v>375</v>
      </c>
      <c r="B153" s="60">
        <v>5.6698000000000002E-4</v>
      </c>
      <c r="C153" s="60">
        <v>0</v>
      </c>
      <c r="D153" s="60">
        <v>0</v>
      </c>
      <c r="E153" s="60"/>
      <c r="F153" s="60" t="s">
        <v>37</v>
      </c>
      <c r="G153" s="60">
        <v>0</v>
      </c>
      <c r="H153" s="60">
        <v>0</v>
      </c>
      <c r="I153" s="60">
        <v>0</v>
      </c>
      <c r="J153" s="60"/>
      <c r="K153" s="60" t="s">
        <v>33</v>
      </c>
      <c r="L153" s="60">
        <v>1.05466E-3</v>
      </c>
      <c r="M153" s="60">
        <v>0</v>
      </c>
      <c r="N153" s="46">
        <v>1.7644799999999999E-2</v>
      </c>
      <c r="S153" s="20"/>
      <c r="T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25">
      <c r="A154" s="60" t="s">
        <v>65</v>
      </c>
      <c r="B154" s="60">
        <v>0</v>
      </c>
      <c r="C154" s="60">
        <v>0</v>
      </c>
      <c r="D154" s="60">
        <v>0</v>
      </c>
      <c r="E154" s="60"/>
      <c r="F154" s="60" t="s">
        <v>38</v>
      </c>
      <c r="G154" s="60">
        <v>0</v>
      </c>
      <c r="H154" s="60">
        <v>0</v>
      </c>
      <c r="I154" s="60">
        <v>0</v>
      </c>
      <c r="J154" s="60"/>
      <c r="K154" s="60" t="s">
        <v>190</v>
      </c>
      <c r="L154" s="60">
        <v>4.0983190000000003E-2</v>
      </c>
      <c r="M154" s="60">
        <v>0.22636910000000002</v>
      </c>
      <c r="N154" s="46">
        <v>1.691811E-2</v>
      </c>
      <c r="S154" s="20"/>
      <c r="T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 spans="1:35" x14ac:dyDescent="0.25">
      <c r="A155" s="413" t="s">
        <v>66</v>
      </c>
      <c r="B155" s="413">
        <v>0</v>
      </c>
      <c r="C155" s="413">
        <v>0</v>
      </c>
      <c r="D155" s="413">
        <v>0</v>
      </c>
      <c r="E155" s="413"/>
      <c r="F155" s="413" t="s">
        <v>39</v>
      </c>
      <c r="G155" s="413">
        <v>0</v>
      </c>
      <c r="H155" s="413">
        <v>0</v>
      </c>
      <c r="I155" s="413">
        <v>0</v>
      </c>
      <c r="J155" s="413"/>
      <c r="K155" s="413" t="s">
        <v>187</v>
      </c>
      <c r="L155" s="413">
        <v>1.5311399999999999E-2</v>
      </c>
      <c r="M155" s="413">
        <v>1.7591799999999998E-2</v>
      </c>
      <c r="N155" s="419">
        <v>1.4108379999999998E-2</v>
      </c>
      <c r="S155" s="20"/>
      <c r="T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 spans="1:35" x14ac:dyDescent="0.25">
      <c r="A156" s="60" t="s">
        <v>67</v>
      </c>
      <c r="B156" s="60">
        <v>0</v>
      </c>
      <c r="C156" s="60">
        <v>0</v>
      </c>
      <c r="D156" s="60">
        <v>0</v>
      </c>
      <c r="E156" s="60"/>
      <c r="F156" s="60" t="s">
        <v>40</v>
      </c>
      <c r="G156" s="60">
        <v>6.7999999999999999E-5</v>
      </c>
      <c r="H156" s="60">
        <v>0</v>
      </c>
      <c r="I156" s="60">
        <v>0</v>
      </c>
      <c r="J156" s="60"/>
      <c r="K156" s="60" t="s">
        <v>126</v>
      </c>
      <c r="L156" s="60">
        <v>0.40785208000000001</v>
      </c>
      <c r="M156" s="60">
        <v>1.1904E-2</v>
      </c>
      <c r="N156" s="46">
        <v>1.3892479999999999E-2</v>
      </c>
      <c r="S156" s="20"/>
      <c r="T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 spans="1:35" x14ac:dyDescent="0.25">
      <c r="A157" s="413" t="s">
        <v>354</v>
      </c>
      <c r="B157" s="413">
        <v>0</v>
      </c>
      <c r="C157" s="413">
        <v>0</v>
      </c>
      <c r="D157" s="413">
        <v>0</v>
      </c>
      <c r="E157" s="413"/>
      <c r="F157" s="413" t="s">
        <v>41</v>
      </c>
      <c r="G157" s="413">
        <v>3.5999999999999999E-3</v>
      </c>
      <c r="H157" s="413">
        <v>0</v>
      </c>
      <c r="I157" s="413">
        <v>0</v>
      </c>
      <c r="J157" s="413"/>
      <c r="K157" s="413" t="s">
        <v>204</v>
      </c>
      <c r="L157" s="413">
        <v>3.7548360000000003E-2</v>
      </c>
      <c r="M157" s="413">
        <v>0.46431730999999998</v>
      </c>
      <c r="N157" s="419">
        <v>1.299253E-2</v>
      </c>
      <c r="S157" s="20"/>
      <c r="T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 spans="1:35" x14ac:dyDescent="0.25">
      <c r="A158" s="60" t="s">
        <v>69</v>
      </c>
      <c r="B158" s="60">
        <v>2.2187999999999998E-4</v>
      </c>
      <c r="C158" s="60">
        <v>0</v>
      </c>
      <c r="D158" s="60">
        <v>0</v>
      </c>
      <c r="E158" s="60"/>
      <c r="F158" s="60" t="s">
        <v>42</v>
      </c>
      <c r="G158" s="60">
        <v>5.0000000000000002E-5</v>
      </c>
      <c r="H158" s="60">
        <v>4.0537999999999998E-3</v>
      </c>
      <c r="I158" s="60">
        <v>0</v>
      </c>
      <c r="J158" s="60"/>
      <c r="K158" s="60" t="s">
        <v>67</v>
      </c>
      <c r="L158" s="60">
        <v>1.5312620000000001E-2</v>
      </c>
      <c r="M158" s="60">
        <v>0</v>
      </c>
      <c r="N158" s="46">
        <v>1.2500000000000001E-2</v>
      </c>
      <c r="S158" s="20"/>
      <c r="T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 spans="1:35" x14ac:dyDescent="0.25">
      <c r="A159" s="413" t="s">
        <v>71</v>
      </c>
      <c r="B159" s="413">
        <v>0</v>
      </c>
      <c r="C159" s="413">
        <v>0</v>
      </c>
      <c r="D159" s="413">
        <v>0</v>
      </c>
      <c r="E159" s="413"/>
      <c r="F159" s="413" t="s">
        <v>43</v>
      </c>
      <c r="G159" s="413">
        <v>0</v>
      </c>
      <c r="H159" s="413">
        <v>5.0000000000000001E-4</v>
      </c>
      <c r="I159" s="413">
        <v>0</v>
      </c>
      <c r="J159" s="413"/>
      <c r="K159" s="413" t="s">
        <v>23</v>
      </c>
      <c r="L159" s="413">
        <v>1.75242E-3</v>
      </c>
      <c r="M159" s="413">
        <v>0</v>
      </c>
      <c r="N159" s="419">
        <v>1.2E-2</v>
      </c>
      <c r="S159" s="20"/>
      <c r="T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 spans="1:35" x14ac:dyDescent="0.25">
      <c r="A160" s="60" t="s">
        <v>72</v>
      </c>
      <c r="B160" s="60">
        <v>0</v>
      </c>
      <c r="C160" s="60">
        <v>0</v>
      </c>
      <c r="D160" s="60">
        <v>0</v>
      </c>
      <c r="E160" s="60"/>
      <c r="F160" s="60" t="s">
        <v>44</v>
      </c>
      <c r="G160" s="60">
        <v>2.0000000000000002E-5</v>
      </c>
      <c r="H160" s="60">
        <v>0</v>
      </c>
      <c r="I160" s="60">
        <v>0</v>
      </c>
      <c r="J160" s="60"/>
      <c r="K160" s="60" t="s">
        <v>210</v>
      </c>
      <c r="L160" s="60">
        <v>2.591831E-2</v>
      </c>
      <c r="M160" s="60">
        <v>3.3698299999999999E-3</v>
      </c>
      <c r="N160" s="46">
        <v>1.1638850000000001E-2</v>
      </c>
      <c r="S160" s="20"/>
      <c r="T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 spans="1:35" x14ac:dyDescent="0.25">
      <c r="A161" s="60" t="s">
        <v>77</v>
      </c>
      <c r="B161" s="60">
        <v>0</v>
      </c>
      <c r="C161" s="60">
        <v>0</v>
      </c>
      <c r="D161" s="60">
        <v>0</v>
      </c>
      <c r="E161" s="60"/>
      <c r="F161" s="60" t="s">
        <v>46</v>
      </c>
      <c r="G161" s="60">
        <v>0</v>
      </c>
      <c r="H161" s="60">
        <v>0</v>
      </c>
      <c r="I161" s="60">
        <v>0</v>
      </c>
      <c r="J161" s="60"/>
      <c r="K161" s="60" t="s">
        <v>175</v>
      </c>
      <c r="L161" s="60">
        <v>0.19656805999999999</v>
      </c>
      <c r="M161" s="60">
        <v>0</v>
      </c>
      <c r="N161" s="46">
        <v>0.01</v>
      </c>
      <c r="S161" s="20"/>
      <c r="T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 spans="1:35" x14ac:dyDescent="0.25">
      <c r="A162" s="413" t="s">
        <v>379</v>
      </c>
      <c r="B162" s="413">
        <v>0</v>
      </c>
      <c r="C162" s="413">
        <v>0</v>
      </c>
      <c r="D162" s="413">
        <v>0</v>
      </c>
      <c r="E162" s="413"/>
      <c r="F162" s="413" t="s">
        <v>49</v>
      </c>
      <c r="G162" s="413">
        <v>0</v>
      </c>
      <c r="H162" s="413">
        <v>0</v>
      </c>
      <c r="I162" s="413">
        <v>0</v>
      </c>
      <c r="J162" s="413"/>
      <c r="K162" s="413" t="s">
        <v>22</v>
      </c>
      <c r="L162" s="413">
        <v>1.31875E-3</v>
      </c>
      <c r="M162" s="413">
        <v>4.4613109999999997E-2</v>
      </c>
      <c r="N162" s="419">
        <v>9.1335400000000008E-3</v>
      </c>
      <c r="S162" s="20"/>
      <c r="T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 spans="1:35" x14ac:dyDescent="0.25">
      <c r="A163" s="60" t="s">
        <v>82</v>
      </c>
      <c r="B163" s="60">
        <v>7.0524999999999997E-3</v>
      </c>
      <c r="C163" s="60">
        <v>0</v>
      </c>
      <c r="D163" s="60">
        <v>0</v>
      </c>
      <c r="E163" s="60"/>
      <c r="F163" s="60" t="s">
        <v>50</v>
      </c>
      <c r="G163" s="60">
        <v>0</v>
      </c>
      <c r="H163" s="60">
        <v>0</v>
      </c>
      <c r="I163" s="60">
        <v>0</v>
      </c>
      <c r="J163" s="60"/>
      <c r="K163" s="60" t="s">
        <v>212</v>
      </c>
      <c r="L163" s="60">
        <v>1.2800000000000001E-2</v>
      </c>
      <c r="M163" s="60">
        <v>2.4577000000000002E-2</v>
      </c>
      <c r="N163" s="46">
        <v>8.1040000000000001E-3</v>
      </c>
      <c r="S163" s="20"/>
      <c r="T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 spans="1:35" x14ac:dyDescent="0.25">
      <c r="A164" s="413" t="s">
        <v>85</v>
      </c>
      <c r="B164" s="413">
        <v>0</v>
      </c>
      <c r="C164" s="413">
        <v>0</v>
      </c>
      <c r="D164" s="413">
        <v>0</v>
      </c>
      <c r="E164" s="413"/>
      <c r="F164" s="413" t="s">
        <v>52</v>
      </c>
      <c r="G164" s="413">
        <v>1.1999999999999999E-3</v>
      </c>
      <c r="H164" s="413">
        <v>0</v>
      </c>
      <c r="I164" s="413">
        <v>0</v>
      </c>
      <c r="J164" s="413"/>
      <c r="K164" s="413" t="s">
        <v>43</v>
      </c>
      <c r="L164" s="413">
        <v>7.2631199999999996E-3</v>
      </c>
      <c r="M164" s="413">
        <v>3.3780900000000003E-2</v>
      </c>
      <c r="N164" s="419">
        <v>7.1799100000000003E-3</v>
      </c>
      <c r="S164" s="20"/>
      <c r="T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x14ac:dyDescent="0.25">
      <c r="A165" s="60" t="s">
        <v>86</v>
      </c>
      <c r="B165" s="60">
        <v>0</v>
      </c>
      <c r="C165" s="60">
        <v>0</v>
      </c>
      <c r="D165" s="60">
        <v>0</v>
      </c>
      <c r="E165" s="60"/>
      <c r="F165" s="60" t="s">
        <v>53</v>
      </c>
      <c r="G165" s="60">
        <v>0</v>
      </c>
      <c r="H165" s="60">
        <v>9.9191399999999999E-2</v>
      </c>
      <c r="I165" s="60">
        <v>0</v>
      </c>
      <c r="J165" s="60"/>
      <c r="K165" s="60" t="s">
        <v>13</v>
      </c>
      <c r="L165" s="60">
        <v>8.2995000000000009E-4</v>
      </c>
      <c r="M165" s="60">
        <v>3.5524999999999999E-4</v>
      </c>
      <c r="N165" s="46">
        <v>6.8252499999999997E-3</v>
      </c>
      <c r="S165" s="20"/>
      <c r="T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 spans="1:35" x14ac:dyDescent="0.25">
      <c r="A166" s="413" t="s">
        <v>348</v>
      </c>
      <c r="B166" s="413">
        <v>0</v>
      </c>
      <c r="C166" s="413">
        <v>0</v>
      </c>
      <c r="D166" s="413">
        <v>0</v>
      </c>
      <c r="E166" s="413"/>
      <c r="F166" s="413" t="s">
        <v>55</v>
      </c>
      <c r="G166" s="413">
        <v>0</v>
      </c>
      <c r="H166" s="413">
        <v>0</v>
      </c>
      <c r="I166" s="413">
        <v>0</v>
      </c>
      <c r="J166" s="413"/>
      <c r="K166" s="413" t="s">
        <v>167</v>
      </c>
      <c r="L166" s="413">
        <v>4.7319430000000003E-2</v>
      </c>
      <c r="M166" s="413">
        <v>3.2461469999999999E-2</v>
      </c>
      <c r="N166" s="419">
        <v>6.5319999999999996E-3</v>
      </c>
      <c r="S166" s="20"/>
      <c r="T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 spans="1:35" x14ac:dyDescent="0.25">
      <c r="A167" s="60" t="s">
        <v>87</v>
      </c>
      <c r="B167" s="60">
        <v>1.398245E-2</v>
      </c>
      <c r="C167" s="60">
        <v>3.4108000000000003E-3</v>
      </c>
      <c r="D167" s="60">
        <v>0</v>
      </c>
      <c r="E167" s="60"/>
      <c r="F167" s="60" t="s">
        <v>60</v>
      </c>
      <c r="G167" s="60">
        <v>0</v>
      </c>
      <c r="H167" s="60">
        <v>0</v>
      </c>
      <c r="I167" s="60">
        <v>0</v>
      </c>
      <c r="J167" s="60"/>
      <c r="K167" s="60" t="s">
        <v>24</v>
      </c>
      <c r="L167" s="60">
        <v>5.2460199999999998E-2</v>
      </c>
      <c r="M167" s="60">
        <v>0.25066616000000003</v>
      </c>
      <c r="N167" s="46">
        <v>5.4580000000000002E-3</v>
      </c>
      <c r="S167" s="20"/>
      <c r="T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 spans="1:35" x14ac:dyDescent="0.25">
      <c r="A168" s="60" t="s">
        <v>91</v>
      </c>
      <c r="B168" s="60">
        <v>7.7999999999999999E-5</v>
      </c>
      <c r="C168" s="60">
        <v>0</v>
      </c>
      <c r="D168" s="60">
        <v>0</v>
      </c>
      <c r="E168" s="60"/>
      <c r="F168" s="60" t="s">
        <v>61</v>
      </c>
      <c r="G168" s="60">
        <v>0</v>
      </c>
      <c r="H168" s="60">
        <v>0</v>
      </c>
      <c r="I168" s="60">
        <v>0</v>
      </c>
      <c r="J168" s="60"/>
      <c r="K168" s="60" t="s">
        <v>191</v>
      </c>
      <c r="L168" s="60">
        <v>7.9795000000000007E-4</v>
      </c>
      <c r="M168" s="60">
        <v>1.5807850000000002E-2</v>
      </c>
      <c r="N168" s="46">
        <v>5.1200000000000004E-3</v>
      </c>
      <c r="S168" s="20"/>
      <c r="T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x14ac:dyDescent="0.25">
      <c r="A169" s="413" t="s">
        <v>92</v>
      </c>
      <c r="B169" s="413">
        <v>0</v>
      </c>
      <c r="C169" s="413">
        <v>0</v>
      </c>
      <c r="D169" s="413">
        <v>0</v>
      </c>
      <c r="E169" s="413"/>
      <c r="F169" s="413" t="s">
        <v>63</v>
      </c>
      <c r="G169" s="413">
        <v>0</v>
      </c>
      <c r="H169" s="413">
        <v>0</v>
      </c>
      <c r="I169" s="413">
        <v>0</v>
      </c>
      <c r="J169" s="413"/>
      <c r="K169" s="413" t="s">
        <v>92</v>
      </c>
      <c r="L169" s="413">
        <v>6.4689300000000005E-2</v>
      </c>
      <c r="M169" s="413">
        <v>0</v>
      </c>
      <c r="N169" s="419">
        <v>4.6850099999999999E-3</v>
      </c>
      <c r="S169" s="20"/>
      <c r="T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 spans="1:35" x14ac:dyDescent="0.25">
      <c r="A170" s="60" t="s">
        <v>364</v>
      </c>
      <c r="B170" s="60">
        <v>8.5006400000000003E-3</v>
      </c>
      <c r="C170" s="60">
        <v>0</v>
      </c>
      <c r="D170" s="60">
        <v>0</v>
      </c>
      <c r="E170" s="60"/>
      <c r="F170" s="60" t="s">
        <v>375</v>
      </c>
      <c r="G170" s="60">
        <v>0</v>
      </c>
      <c r="H170" s="60">
        <v>0</v>
      </c>
      <c r="I170" s="60">
        <v>0</v>
      </c>
      <c r="J170" s="60"/>
      <c r="K170" s="60" t="s">
        <v>14</v>
      </c>
      <c r="L170" s="60">
        <v>5.4542889999999997E-2</v>
      </c>
      <c r="M170" s="60">
        <v>1.135851E-2</v>
      </c>
      <c r="N170" s="46">
        <v>4.4447000000000002E-3</v>
      </c>
      <c r="S170" s="20"/>
      <c r="T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 spans="1:35" x14ac:dyDescent="0.25">
      <c r="A171" s="413" t="s">
        <v>97</v>
      </c>
      <c r="B171" s="413">
        <v>0.23873417999999999</v>
      </c>
      <c r="C171" s="413">
        <v>1.33295433</v>
      </c>
      <c r="D171" s="413">
        <v>0</v>
      </c>
      <c r="E171" s="413"/>
      <c r="F171" s="413" t="s">
        <v>65</v>
      </c>
      <c r="G171" s="413">
        <v>0</v>
      </c>
      <c r="H171" s="413">
        <v>3.0000000000000001E-5</v>
      </c>
      <c r="I171" s="413">
        <v>0</v>
      </c>
      <c r="J171" s="413"/>
      <c r="K171" s="413" t="s">
        <v>26</v>
      </c>
      <c r="L171" s="413">
        <v>6.1222739999999998E-2</v>
      </c>
      <c r="M171" s="413">
        <v>8.7944500000000005E-3</v>
      </c>
      <c r="N171" s="419">
        <v>4.1601499999999996E-3</v>
      </c>
      <c r="S171" s="20"/>
      <c r="T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 spans="1:35" x14ac:dyDescent="0.25">
      <c r="A172" s="60" t="s">
        <v>98</v>
      </c>
      <c r="B172" s="60">
        <v>0</v>
      </c>
      <c r="C172" s="60">
        <v>0</v>
      </c>
      <c r="D172" s="60">
        <v>0</v>
      </c>
      <c r="E172" s="60"/>
      <c r="F172" s="60" t="s">
        <v>66</v>
      </c>
      <c r="G172" s="60">
        <v>2.7999999999999998E-4</v>
      </c>
      <c r="H172" s="60">
        <v>0</v>
      </c>
      <c r="I172" s="60">
        <v>0</v>
      </c>
      <c r="J172" s="60"/>
      <c r="K172" s="60" t="s">
        <v>130</v>
      </c>
      <c r="L172" s="60">
        <v>3.3332170000000001E-2</v>
      </c>
      <c r="M172" s="60">
        <v>7.5000000000000002E-4</v>
      </c>
      <c r="N172" s="46">
        <v>3.8913000000000003E-3</v>
      </c>
      <c r="S172" s="20"/>
      <c r="T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 spans="1:35" x14ac:dyDescent="0.25">
      <c r="A173" s="413" t="s">
        <v>104</v>
      </c>
      <c r="B173" s="413">
        <v>2.8377909999999999E-2</v>
      </c>
      <c r="C173" s="413">
        <v>1.6692976899999998</v>
      </c>
      <c r="D173" s="413">
        <v>0</v>
      </c>
      <c r="E173" s="413"/>
      <c r="F173" s="413" t="s">
        <v>354</v>
      </c>
      <c r="G173" s="413">
        <v>0</v>
      </c>
      <c r="H173" s="413">
        <v>0</v>
      </c>
      <c r="I173" s="413">
        <v>0</v>
      </c>
      <c r="J173" s="413"/>
      <c r="K173" s="413" t="s">
        <v>71</v>
      </c>
      <c r="L173" s="413">
        <v>0</v>
      </c>
      <c r="M173" s="413">
        <v>0</v>
      </c>
      <c r="N173" s="419">
        <v>3.2173000000000002E-3</v>
      </c>
      <c r="S173" s="20"/>
      <c r="T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 spans="1:35" x14ac:dyDescent="0.25">
      <c r="A174" s="60" t="s">
        <v>107</v>
      </c>
      <c r="B174" s="60">
        <v>0</v>
      </c>
      <c r="C174" s="60">
        <v>8.4864000000000001E-4</v>
      </c>
      <c r="D174" s="60">
        <v>0</v>
      </c>
      <c r="E174" s="60"/>
      <c r="F174" s="60" t="s">
        <v>68</v>
      </c>
      <c r="G174" s="60">
        <v>1.178179E-2</v>
      </c>
      <c r="H174" s="60">
        <v>0</v>
      </c>
      <c r="I174" s="60">
        <v>0</v>
      </c>
      <c r="J174" s="60"/>
      <c r="K174" s="60" t="s">
        <v>35</v>
      </c>
      <c r="L174" s="60">
        <v>7.454400000000001E-4</v>
      </c>
      <c r="M174" s="60">
        <v>7.1108660000000004E-2</v>
      </c>
      <c r="N174" s="46">
        <v>3.0642800000000004E-3</v>
      </c>
      <c r="S174" s="20"/>
      <c r="T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 spans="1:35" x14ac:dyDescent="0.25">
      <c r="A175" s="60" t="s">
        <v>109</v>
      </c>
      <c r="B175" s="60">
        <v>0</v>
      </c>
      <c r="C175" s="60">
        <v>1.6110280000000001E-2</v>
      </c>
      <c r="D175" s="60">
        <v>0</v>
      </c>
      <c r="E175" s="60"/>
      <c r="F175" s="60" t="s">
        <v>69</v>
      </c>
      <c r="G175" s="60">
        <v>0</v>
      </c>
      <c r="H175" s="60">
        <v>0</v>
      </c>
      <c r="I175" s="60">
        <v>0</v>
      </c>
      <c r="J175" s="60"/>
      <c r="K175" s="60" t="s">
        <v>110</v>
      </c>
      <c r="L175" s="60">
        <v>4.6709999999999998E-3</v>
      </c>
      <c r="M175" s="60">
        <v>3.5432199999999997E-3</v>
      </c>
      <c r="N175" s="46">
        <v>3.0000000000000001E-3</v>
      </c>
      <c r="S175" s="20"/>
      <c r="T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 spans="1:35" x14ac:dyDescent="0.25">
      <c r="A176" s="413" t="s">
        <v>110</v>
      </c>
      <c r="B176" s="413">
        <v>0</v>
      </c>
      <c r="C176" s="413">
        <v>0</v>
      </c>
      <c r="D176" s="413">
        <v>0</v>
      </c>
      <c r="E176" s="413"/>
      <c r="F176" s="413" t="s">
        <v>70</v>
      </c>
      <c r="G176" s="413">
        <v>0</v>
      </c>
      <c r="H176" s="413">
        <v>0</v>
      </c>
      <c r="I176" s="413">
        <v>0</v>
      </c>
      <c r="J176" s="413"/>
      <c r="K176" s="413" t="s">
        <v>111</v>
      </c>
      <c r="L176" s="413">
        <v>5.7537999999999999E-3</v>
      </c>
      <c r="M176" s="413">
        <v>2.16E-3</v>
      </c>
      <c r="N176" s="419">
        <v>2.9551500000000001E-3</v>
      </c>
      <c r="S176" s="20"/>
      <c r="T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 spans="1:35" x14ac:dyDescent="0.25">
      <c r="A177" s="60" t="s">
        <v>349</v>
      </c>
      <c r="B177" s="60">
        <v>0</v>
      </c>
      <c r="C177" s="60">
        <v>0</v>
      </c>
      <c r="D177" s="60">
        <v>0</v>
      </c>
      <c r="E177" s="60"/>
      <c r="F177" s="60" t="s">
        <v>72</v>
      </c>
      <c r="G177" s="60">
        <v>0</v>
      </c>
      <c r="H177" s="60">
        <v>0</v>
      </c>
      <c r="I177" s="60">
        <v>0</v>
      </c>
      <c r="J177" s="60"/>
      <c r="K177" s="60" t="s">
        <v>47</v>
      </c>
      <c r="L177" s="60">
        <v>2.4329999999999998E-3</v>
      </c>
      <c r="M177" s="60">
        <v>2.4329999999999998E-3</v>
      </c>
      <c r="N177" s="46">
        <v>2.7130000000000001E-3</v>
      </c>
      <c r="S177" s="20"/>
      <c r="T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 spans="1:35" x14ac:dyDescent="0.25">
      <c r="A178" s="413" t="s">
        <v>111</v>
      </c>
      <c r="B178" s="413">
        <v>2.1732399999999999E-3</v>
      </c>
      <c r="C178" s="413">
        <v>2.5817700000000002E-3</v>
      </c>
      <c r="D178" s="413">
        <v>0</v>
      </c>
      <c r="E178" s="413"/>
      <c r="F178" s="413" t="s">
        <v>76</v>
      </c>
      <c r="G178" s="413">
        <v>0</v>
      </c>
      <c r="H178" s="413">
        <v>0</v>
      </c>
      <c r="I178" s="413">
        <v>0</v>
      </c>
      <c r="J178" s="413"/>
      <c r="K178" s="413" t="s">
        <v>17</v>
      </c>
      <c r="L178" s="413">
        <v>0.63236594999999995</v>
      </c>
      <c r="M178" s="413">
        <v>7.64644E-3</v>
      </c>
      <c r="N178" s="419">
        <v>2.3259999999999999E-3</v>
      </c>
      <c r="S178" s="20"/>
      <c r="T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 spans="1:35" x14ac:dyDescent="0.25">
      <c r="A179" s="60" t="s">
        <v>114</v>
      </c>
      <c r="B179" s="60">
        <v>0</v>
      </c>
      <c r="C179" s="60">
        <v>0</v>
      </c>
      <c r="D179" s="60">
        <v>0</v>
      </c>
      <c r="E179" s="60"/>
      <c r="F179" s="60" t="s">
        <v>77</v>
      </c>
      <c r="G179" s="60">
        <v>0</v>
      </c>
      <c r="H179" s="60">
        <v>0</v>
      </c>
      <c r="I179" s="60">
        <v>0</v>
      </c>
      <c r="J179" s="60"/>
      <c r="K179" s="60" t="s">
        <v>192</v>
      </c>
      <c r="L179" s="60">
        <v>4.9948500000000003E-3</v>
      </c>
      <c r="M179" s="60">
        <v>4.8830000000000002E-3</v>
      </c>
      <c r="N179" s="46">
        <v>2.2000000000000001E-3</v>
      </c>
      <c r="S179" s="20"/>
      <c r="T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 spans="1:35" x14ac:dyDescent="0.25">
      <c r="A180" s="413" t="s">
        <v>116</v>
      </c>
      <c r="B180" s="413">
        <v>0</v>
      </c>
      <c r="C180" s="413">
        <v>0</v>
      </c>
      <c r="D180" s="413">
        <v>0</v>
      </c>
      <c r="E180" s="413"/>
      <c r="F180" s="413" t="s">
        <v>379</v>
      </c>
      <c r="G180" s="413">
        <v>3.0000000000000001E-5</v>
      </c>
      <c r="H180" s="413">
        <v>0</v>
      </c>
      <c r="I180" s="413">
        <v>0</v>
      </c>
      <c r="J180" s="413"/>
      <c r="K180" s="413" t="s">
        <v>153</v>
      </c>
      <c r="L180" s="413">
        <v>1E-3</v>
      </c>
      <c r="M180" s="413">
        <v>5.0000000000000001E-3</v>
      </c>
      <c r="N180" s="419">
        <v>1.7902700000000001E-3</v>
      </c>
      <c r="S180" s="20"/>
      <c r="T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 spans="1:35" x14ac:dyDescent="0.25">
      <c r="A181" s="60" t="s">
        <v>118</v>
      </c>
      <c r="B181" s="60">
        <v>1.4912479999999999E-2</v>
      </c>
      <c r="C181" s="60">
        <v>0</v>
      </c>
      <c r="D181" s="60">
        <v>0</v>
      </c>
      <c r="E181" s="60"/>
      <c r="F181" s="60" t="s">
        <v>79</v>
      </c>
      <c r="G181" s="60">
        <v>6.8785250000000006E-2</v>
      </c>
      <c r="H181" s="60">
        <v>0</v>
      </c>
      <c r="I181" s="60">
        <v>0</v>
      </c>
      <c r="J181" s="60"/>
      <c r="K181" s="60" t="s">
        <v>124</v>
      </c>
      <c r="L181" s="60">
        <v>8.7056679999999997E-2</v>
      </c>
      <c r="M181" s="60">
        <v>0.30252373999999999</v>
      </c>
      <c r="N181" s="46">
        <v>1.6003499999999999E-3</v>
      </c>
      <c r="S181" s="20"/>
      <c r="T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 spans="1:35" x14ac:dyDescent="0.25">
      <c r="A182" s="60" t="s">
        <v>119</v>
      </c>
      <c r="B182" s="60">
        <v>6.94671E-3</v>
      </c>
      <c r="C182" s="60">
        <v>0</v>
      </c>
      <c r="D182" s="60">
        <v>0</v>
      </c>
      <c r="E182" s="60"/>
      <c r="F182" s="60" t="s">
        <v>85</v>
      </c>
      <c r="G182" s="60">
        <v>0</v>
      </c>
      <c r="H182" s="60">
        <v>0</v>
      </c>
      <c r="I182" s="60">
        <v>0</v>
      </c>
      <c r="J182" s="60"/>
      <c r="K182" s="60" t="s">
        <v>109</v>
      </c>
      <c r="L182" s="60">
        <v>0</v>
      </c>
      <c r="M182" s="60">
        <v>0</v>
      </c>
      <c r="N182" s="46">
        <v>1.2800000000000001E-3</v>
      </c>
      <c r="S182" s="20"/>
      <c r="T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 spans="1:35" x14ac:dyDescent="0.25">
      <c r="A183" s="413" t="s">
        <v>353</v>
      </c>
      <c r="B183" s="413">
        <v>4.5988542699999995</v>
      </c>
      <c r="C183" s="413">
        <v>0</v>
      </c>
      <c r="D183" s="413">
        <v>0</v>
      </c>
      <c r="E183" s="413"/>
      <c r="F183" s="413" t="s">
        <v>86</v>
      </c>
      <c r="G183" s="413">
        <v>0</v>
      </c>
      <c r="H183" s="413">
        <v>0</v>
      </c>
      <c r="I183" s="413">
        <v>0</v>
      </c>
      <c r="J183" s="413"/>
      <c r="K183" s="413" t="s">
        <v>141</v>
      </c>
      <c r="L183" s="413">
        <v>0</v>
      </c>
      <c r="M183" s="413">
        <v>1.2E-2</v>
      </c>
      <c r="N183" s="419">
        <v>7.5000000000000002E-4</v>
      </c>
      <c r="S183" s="20"/>
      <c r="T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 spans="1:35" x14ac:dyDescent="0.25">
      <c r="A184" s="60" t="s">
        <v>122</v>
      </c>
      <c r="B184" s="60">
        <v>4.9894999999999996E-4</v>
      </c>
      <c r="C184" s="60">
        <v>0</v>
      </c>
      <c r="D184" s="60">
        <v>0</v>
      </c>
      <c r="E184" s="60"/>
      <c r="F184" s="60" t="s">
        <v>348</v>
      </c>
      <c r="G184" s="60">
        <v>0</v>
      </c>
      <c r="H184" s="60">
        <v>0</v>
      </c>
      <c r="I184" s="60">
        <v>0</v>
      </c>
      <c r="J184" s="60"/>
      <c r="K184" s="60" t="s">
        <v>205</v>
      </c>
      <c r="L184" s="60">
        <v>1.1891280000000001E-2</v>
      </c>
      <c r="M184" s="60">
        <v>2.3105199999999999E-3</v>
      </c>
      <c r="N184" s="46">
        <v>7.182E-4</v>
      </c>
      <c r="S184" s="20"/>
      <c r="T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 spans="1:35" x14ac:dyDescent="0.25">
      <c r="A185" s="413" t="s">
        <v>124</v>
      </c>
      <c r="B185" s="413">
        <v>0.71858293999999989</v>
      </c>
      <c r="C185" s="413">
        <v>0.14701263000000001</v>
      </c>
      <c r="D185" s="413">
        <v>0</v>
      </c>
      <c r="E185" s="413"/>
      <c r="F185" s="413" t="s">
        <v>87</v>
      </c>
      <c r="G185" s="413">
        <v>0</v>
      </c>
      <c r="H185" s="413">
        <v>1.0196229999999999E-2</v>
      </c>
      <c r="I185" s="413">
        <v>0</v>
      </c>
      <c r="J185" s="413"/>
      <c r="K185" s="413" t="s">
        <v>54</v>
      </c>
      <c r="L185" s="413">
        <v>0</v>
      </c>
      <c r="M185" s="413">
        <v>1.022195E-2</v>
      </c>
      <c r="N185" s="419">
        <v>3.1500000000000001E-4</v>
      </c>
      <c r="S185" s="20"/>
      <c r="T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x14ac:dyDescent="0.25">
      <c r="A186" s="60" t="s">
        <v>685</v>
      </c>
      <c r="B186" s="60">
        <v>664.56751904999999</v>
      </c>
      <c r="C186" s="60">
        <v>1.02877573</v>
      </c>
      <c r="D186" s="60">
        <v>0</v>
      </c>
      <c r="E186" s="60"/>
      <c r="F186" s="60" t="s">
        <v>91</v>
      </c>
      <c r="G186" s="60">
        <v>0</v>
      </c>
      <c r="H186" s="60">
        <v>0</v>
      </c>
      <c r="I186" s="60">
        <v>0</v>
      </c>
      <c r="J186" s="60"/>
      <c r="K186" s="60" t="s">
        <v>1</v>
      </c>
      <c r="L186" s="60">
        <v>1.68203E-2</v>
      </c>
      <c r="M186" s="60">
        <v>5.8832342300000002</v>
      </c>
      <c r="N186" s="46">
        <v>0</v>
      </c>
      <c r="S186" s="20"/>
      <c r="T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 spans="1:35" x14ac:dyDescent="0.25">
      <c r="A187" s="413" t="s">
        <v>129</v>
      </c>
      <c r="B187" s="413">
        <v>3.4173120000000001E-2</v>
      </c>
      <c r="C187" s="413">
        <v>1.8822020000000002E-2</v>
      </c>
      <c r="D187" s="413">
        <v>0</v>
      </c>
      <c r="E187" s="413"/>
      <c r="F187" s="413" t="s">
        <v>92</v>
      </c>
      <c r="G187" s="413">
        <v>0</v>
      </c>
      <c r="H187" s="413">
        <v>0</v>
      </c>
      <c r="I187" s="413">
        <v>0</v>
      </c>
      <c r="J187" s="413"/>
      <c r="K187" s="413" t="s">
        <v>3</v>
      </c>
      <c r="L187" s="413">
        <v>0.14797776000000001</v>
      </c>
      <c r="M187" s="413">
        <v>2.0436E-3</v>
      </c>
      <c r="N187" s="419">
        <v>0</v>
      </c>
      <c r="S187" s="20"/>
      <c r="T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 spans="1:35" x14ac:dyDescent="0.25">
      <c r="A188" s="60" t="s">
        <v>367</v>
      </c>
      <c r="B188" s="60">
        <v>0</v>
      </c>
      <c r="C188" s="60">
        <v>3.2221109999999997E-2</v>
      </c>
      <c r="D188" s="60">
        <v>0</v>
      </c>
      <c r="E188" s="60"/>
      <c r="F188" s="60" t="s">
        <v>94</v>
      </c>
      <c r="G188" s="60">
        <v>0</v>
      </c>
      <c r="H188" s="60">
        <v>0</v>
      </c>
      <c r="I188" s="60">
        <v>0</v>
      </c>
      <c r="J188" s="60"/>
      <c r="K188" s="60" t="s">
        <v>350</v>
      </c>
      <c r="L188" s="60">
        <v>0.18070064999999999</v>
      </c>
      <c r="M188" s="60">
        <v>0.32260872999999995</v>
      </c>
      <c r="N188" s="46">
        <v>0</v>
      </c>
      <c r="S188" s="20"/>
      <c r="T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 spans="1:35" x14ac:dyDescent="0.25">
      <c r="A189" s="60" t="s">
        <v>130</v>
      </c>
      <c r="B189" s="60">
        <v>0</v>
      </c>
      <c r="C189" s="60">
        <v>0</v>
      </c>
      <c r="D189" s="60">
        <v>0</v>
      </c>
      <c r="E189" s="60"/>
      <c r="F189" s="60" t="s">
        <v>364</v>
      </c>
      <c r="G189" s="60">
        <v>1.9062000000000001E-4</v>
      </c>
      <c r="H189" s="60">
        <v>1.7329999999999998E-5</v>
      </c>
      <c r="I189" s="60">
        <v>0</v>
      </c>
      <c r="J189" s="60"/>
      <c r="K189" s="60" t="s">
        <v>7</v>
      </c>
      <c r="L189" s="60">
        <v>0</v>
      </c>
      <c r="M189" s="60">
        <v>0</v>
      </c>
      <c r="N189" s="46">
        <v>0</v>
      </c>
      <c r="S189" s="20"/>
      <c r="T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 spans="1:35" x14ac:dyDescent="0.25">
      <c r="A190" s="413" t="s">
        <v>398</v>
      </c>
      <c r="B190" s="413">
        <v>42.78143996</v>
      </c>
      <c r="C190" s="413">
        <v>0</v>
      </c>
      <c r="D190" s="413">
        <v>0</v>
      </c>
      <c r="E190" s="413"/>
      <c r="F190" s="413" t="s">
        <v>98</v>
      </c>
      <c r="G190" s="413">
        <v>1E-3</v>
      </c>
      <c r="H190" s="413">
        <v>0</v>
      </c>
      <c r="I190" s="413">
        <v>0</v>
      </c>
      <c r="J190" s="413"/>
      <c r="K190" s="413" t="s">
        <v>351</v>
      </c>
      <c r="L190" s="413">
        <v>0.388409</v>
      </c>
      <c r="M190" s="413">
        <v>0</v>
      </c>
      <c r="N190" s="419">
        <v>0</v>
      </c>
      <c r="S190" s="20"/>
      <c r="T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 spans="1:35" x14ac:dyDescent="0.25">
      <c r="A191" s="60" t="s">
        <v>374</v>
      </c>
      <c r="B191" s="60">
        <v>0</v>
      </c>
      <c r="C191" s="60">
        <v>0</v>
      </c>
      <c r="D191" s="60">
        <v>0</v>
      </c>
      <c r="E191" s="60"/>
      <c r="F191" s="60" t="s">
        <v>100</v>
      </c>
      <c r="G191" s="60">
        <v>0</v>
      </c>
      <c r="H191" s="60">
        <v>4.0000000000000002E-4</v>
      </c>
      <c r="I191" s="60">
        <v>0</v>
      </c>
      <c r="J191" s="60"/>
      <c r="K191" s="60" t="s">
        <v>370</v>
      </c>
      <c r="L191" s="60">
        <v>0</v>
      </c>
      <c r="M191" s="60">
        <v>3.0000000000000001E-5</v>
      </c>
      <c r="N191" s="46">
        <v>0</v>
      </c>
      <c r="S191" s="20"/>
      <c r="T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 spans="1:35" x14ac:dyDescent="0.25">
      <c r="A192" s="413" t="s">
        <v>132</v>
      </c>
      <c r="B192" s="413">
        <v>0.42428061</v>
      </c>
      <c r="C192" s="413">
        <v>1.9242831699999998</v>
      </c>
      <c r="D192" s="413">
        <v>0</v>
      </c>
      <c r="E192" s="413"/>
      <c r="F192" s="413" t="s">
        <v>101</v>
      </c>
      <c r="G192" s="413">
        <v>0</v>
      </c>
      <c r="H192" s="413">
        <v>0</v>
      </c>
      <c r="I192" s="413">
        <v>0</v>
      </c>
      <c r="J192" s="413"/>
      <c r="K192" s="413" t="s">
        <v>347</v>
      </c>
      <c r="L192" s="413">
        <v>6.8611000000000002E-3</v>
      </c>
      <c r="M192" s="413">
        <v>2.2769999999999999E-3</v>
      </c>
      <c r="N192" s="419">
        <v>0</v>
      </c>
      <c r="S192" s="20"/>
      <c r="T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 spans="1:35" x14ac:dyDescent="0.25">
      <c r="A193" s="60" t="s">
        <v>139</v>
      </c>
      <c r="B193" s="60">
        <v>0.60721700000000001</v>
      </c>
      <c r="C193" s="60">
        <v>0</v>
      </c>
      <c r="D193" s="60">
        <v>0</v>
      </c>
      <c r="E193" s="60"/>
      <c r="F193" s="60" t="s">
        <v>103</v>
      </c>
      <c r="G193" s="60">
        <v>0</v>
      </c>
      <c r="H193" s="60">
        <v>0</v>
      </c>
      <c r="I193" s="60">
        <v>0</v>
      </c>
      <c r="J193" s="60"/>
      <c r="K193" s="60" t="s">
        <v>25</v>
      </c>
      <c r="L193" s="60">
        <v>0</v>
      </c>
      <c r="M193" s="60">
        <v>0</v>
      </c>
      <c r="N193" s="46">
        <v>0</v>
      </c>
      <c r="S193" s="20"/>
      <c r="T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 spans="1:35" x14ac:dyDescent="0.25">
      <c r="A194" s="413" t="s">
        <v>141</v>
      </c>
      <c r="B194" s="413">
        <v>2.4150899999999999E-3</v>
      </c>
      <c r="C194" s="413">
        <v>0</v>
      </c>
      <c r="D194" s="413">
        <v>0</v>
      </c>
      <c r="E194" s="413"/>
      <c r="F194" s="413" t="s">
        <v>105</v>
      </c>
      <c r="G194" s="413">
        <v>0</v>
      </c>
      <c r="H194" s="413">
        <v>6.7000000000000002E-5</v>
      </c>
      <c r="I194" s="413">
        <v>0</v>
      </c>
      <c r="J194" s="413"/>
      <c r="K194" s="413" t="s">
        <v>384</v>
      </c>
      <c r="L194" s="413">
        <v>0</v>
      </c>
      <c r="M194" s="413">
        <v>0.13919585000000001</v>
      </c>
      <c r="N194" s="419">
        <v>0</v>
      </c>
      <c r="S194" s="20"/>
      <c r="T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 spans="1:35" x14ac:dyDescent="0.25">
      <c r="A195" s="60" t="s">
        <v>142</v>
      </c>
      <c r="B195" s="60">
        <v>0.10445341000000001</v>
      </c>
      <c r="C195" s="60">
        <v>6.8027660000000004E-2</v>
      </c>
      <c r="D195" s="60">
        <v>0</v>
      </c>
      <c r="E195" s="60"/>
      <c r="F195" s="60" t="s">
        <v>107</v>
      </c>
      <c r="G195" s="60">
        <v>0</v>
      </c>
      <c r="H195" s="60">
        <v>0</v>
      </c>
      <c r="I195" s="60">
        <v>0</v>
      </c>
      <c r="J195" s="60"/>
      <c r="K195" s="60" t="s">
        <v>32</v>
      </c>
      <c r="L195" s="60">
        <v>8.9999999999999993E-3</v>
      </c>
      <c r="M195" s="60">
        <v>0.22500000000000001</v>
      </c>
      <c r="N195" s="46">
        <v>0</v>
      </c>
      <c r="S195" s="20"/>
      <c r="T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 spans="1:35" x14ac:dyDescent="0.25">
      <c r="A196" s="60" t="s">
        <v>143</v>
      </c>
      <c r="B196" s="60">
        <v>6.88588399</v>
      </c>
      <c r="C196" s="60">
        <v>7.8125490000000006E-2</v>
      </c>
      <c r="D196" s="60">
        <v>0</v>
      </c>
      <c r="E196" s="60"/>
      <c r="F196" s="60" t="s">
        <v>109</v>
      </c>
      <c r="G196" s="60">
        <v>0</v>
      </c>
      <c r="H196" s="60">
        <v>0</v>
      </c>
      <c r="I196" s="60">
        <v>0</v>
      </c>
      <c r="J196" s="60"/>
      <c r="K196" s="60" t="s">
        <v>400</v>
      </c>
      <c r="L196" s="60">
        <v>0</v>
      </c>
      <c r="M196" s="60">
        <v>3.2989999999999998E-3</v>
      </c>
      <c r="N196" s="46">
        <v>0</v>
      </c>
      <c r="S196" s="20"/>
      <c r="T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 spans="1:35" x14ac:dyDescent="0.25">
      <c r="A197" s="413" t="s">
        <v>144</v>
      </c>
      <c r="B197" s="413">
        <v>0</v>
      </c>
      <c r="C197" s="413">
        <v>0</v>
      </c>
      <c r="D197" s="413">
        <v>0</v>
      </c>
      <c r="E197" s="413"/>
      <c r="F197" s="413" t="s">
        <v>349</v>
      </c>
      <c r="G197" s="413">
        <v>0</v>
      </c>
      <c r="H197" s="413">
        <v>0</v>
      </c>
      <c r="I197" s="413">
        <v>0</v>
      </c>
      <c r="J197" s="413"/>
      <c r="K197" s="413" t="s">
        <v>383</v>
      </c>
      <c r="L197" s="413">
        <v>0</v>
      </c>
      <c r="M197" s="413">
        <v>0</v>
      </c>
      <c r="N197" s="419">
        <v>0</v>
      </c>
      <c r="S197" s="20"/>
      <c r="T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 spans="1:35" x14ac:dyDescent="0.25">
      <c r="A198" s="60" t="s">
        <v>147</v>
      </c>
      <c r="B198" s="60">
        <v>4.7602499999999997E-3</v>
      </c>
      <c r="C198" s="60">
        <v>0</v>
      </c>
      <c r="D198" s="60">
        <v>0</v>
      </c>
      <c r="E198" s="60"/>
      <c r="F198" s="60" t="s">
        <v>118</v>
      </c>
      <c r="G198" s="60">
        <v>0</v>
      </c>
      <c r="H198" s="60">
        <v>7.6216000000000001E-4</v>
      </c>
      <c r="I198" s="60">
        <v>0</v>
      </c>
      <c r="J198" s="60"/>
      <c r="K198" s="60" t="s">
        <v>34</v>
      </c>
      <c r="L198" s="60">
        <v>0</v>
      </c>
      <c r="M198" s="60">
        <v>0</v>
      </c>
      <c r="N198" s="46">
        <v>0</v>
      </c>
      <c r="S198" s="20"/>
      <c r="T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 spans="1:35" x14ac:dyDescent="0.25">
      <c r="A199" s="413" t="s">
        <v>149</v>
      </c>
      <c r="B199" s="413">
        <v>8.6106509999999997E-2</v>
      </c>
      <c r="C199" s="413">
        <v>0</v>
      </c>
      <c r="D199" s="413">
        <v>0</v>
      </c>
      <c r="E199" s="413"/>
      <c r="F199" s="413" t="s">
        <v>353</v>
      </c>
      <c r="G199" s="413">
        <v>0</v>
      </c>
      <c r="H199" s="413">
        <v>0</v>
      </c>
      <c r="I199" s="413">
        <v>0</v>
      </c>
      <c r="J199" s="413"/>
      <c r="K199" s="413" t="s">
        <v>39</v>
      </c>
      <c r="L199" s="413">
        <v>0</v>
      </c>
      <c r="M199" s="413">
        <v>9.3998299999999996E-3</v>
      </c>
      <c r="N199" s="419">
        <v>0</v>
      </c>
      <c r="S199" s="20"/>
      <c r="T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 spans="1:35" x14ac:dyDescent="0.25">
      <c r="A200" s="60" t="s">
        <v>150</v>
      </c>
      <c r="B200" s="60">
        <v>0</v>
      </c>
      <c r="C200" s="60">
        <v>0</v>
      </c>
      <c r="D200" s="60">
        <v>0</v>
      </c>
      <c r="E200" s="60"/>
      <c r="F200" s="60" t="s">
        <v>122</v>
      </c>
      <c r="G200" s="60">
        <v>0</v>
      </c>
      <c r="H200" s="60">
        <v>0</v>
      </c>
      <c r="I200" s="60">
        <v>0</v>
      </c>
      <c r="J200" s="60"/>
      <c r="K200" s="60" t="s">
        <v>41</v>
      </c>
      <c r="L200" s="60">
        <v>0</v>
      </c>
      <c r="M200" s="60">
        <v>0</v>
      </c>
      <c r="N200" s="46">
        <v>0</v>
      </c>
      <c r="S200" s="20"/>
      <c r="T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 spans="1:35" x14ac:dyDescent="0.25">
      <c r="A201" s="413" t="s">
        <v>152</v>
      </c>
      <c r="B201" s="413">
        <v>1.9032549999999999E-2</v>
      </c>
      <c r="C201" s="413">
        <v>0</v>
      </c>
      <c r="D201" s="413">
        <v>0</v>
      </c>
      <c r="E201" s="413"/>
      <c r="F201" s="413" t="s">
        <v>124</v>
      </c>
      <c r="G201" s="413">
        <v>0</v>
      </c>
      <c r="H201" s="413">
        <v>2.0000000000000001E-4</v>
      </c>
      <c r="I201" s="413">
        <v>0</v>
      </c>
      <c r="J201" s="413"/>
      <c r="K201" s="413" t="s">
        <v>42</v>
      </c>
      <c r="L201" s="413">
        <v>0</v>
      </c>
      <c r="M201" s="413">
        <v>0</v>
      </c>
      <c r="N201" s="419">
        <v>0</v>
      </c>
      <c r="S201" s="20"/>
      <c r="T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 spans="1:35" x14ac:dyDescent="0.25">
      <c r="A202" s="60" t="s">
        <v>153</v>
      </c>
      <c r="B202" s="60">
        <v>2.16051E-3</v>
      </c>
      <c r="C202" s="60">
        <v>0</v>
      </c>
      <c r="D202" s="60">
        <v>0</v>
      </c>
      <c r="E202" s="60"/>
      <c r="F202" s="60" t="s">
        <v>125</v>
      </c>
      <c r="G202" s="60">
        <v>0</v>
      </c>
      <c r="H202" s="60">
        <v>0</v>
      </c>
      <c r="I202" s="60">
        <v>0</v>
      </c>
      <c r="J202" s="60"/>
      <c r="K202" s="60" t="s">
        <v>44</v>
      </c>
      <c r="L202" s="60">
        <v>0.37261100000000003</v>
      </c>
      <c r="M202" s="60">
        <v>0.51319000000000004</v>
      </c>
      <c r="N202" s="46">
        <v>0</v>
      </c>
      <c r="S202" s="20"/>
      <c r="T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 spans="1:35" x14ac:dyDescent="0.25">
      <c r="A203" s="60" t="s">
        <v>154</v>
      </c>
      <c r="B203" s="60">
        <v>0</v>
      </c>
      <c r="C203" s="60">
        <v>0</v>
      </c>
      <c r="D203" s="60">
        <v>0</v>
      </c>
      <c r="E203" s="60"/>
      <c r="F203" s="60" t="s">
        <v>126</v>
      </c>
      <c r="G203" s="60">
        <v>0</v>
      </c>
      <c r="H203" s="60">
        <v>0</v>
      </c>
      <c r="I203" s="60">
        <v>0</v>
      </c>
      <c r="J203" s="60"/>
      <c r="K203" s="60" t="s">
        <v>51</v>
      </c>
      <c r="L203" s="60">
        <v>0.42808181000000001</v>
      </c>
      <c r="M203" s="60">
        <v>0.21236099999999999</v>
      </c>
      <c r="N203" s="46">
        <v>0</v>
      </c>
      <c r="S203" s="20"/>
      <c r="T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x14ac:dyDescent="0.25">
      <c r="A204" s="413" t="s">
        <v>155</v>
      </c>
      <c r="B204" s="413">
        <v>4.9568540000000001E-2</v>
      </c>
      <c r="C204" s="413">
        <v>0</v>
      </c>
      <c r="D204" s="413">
        <v>0</v>
      </c>
      <c r="E204" s="413"/>
      <c r="F204" s="413" t="s">
        <v>685</v>
      </c>
      <c r="G204" s="413">
        <v>0</v>
      </c>
      <c r="H204" s="413">
        <v>0</v>
      </c>
      <c r="I204" s="413">
        <v>0</v>
      </c>
      <c r="J204" s="413"/>
      <c r="K204" s="413" t="s">
        <v>52</v>
      </c>
      <c r="L204" s="413">
        <v>0</v>
      </c>
      <c r="M204" s="413">
        <v>0</v>
      </c>
      <c r="N204" s="419">
        <v>0</v>
      </c>
      <c r="S204" s="20"/>
      <c r="T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 spans="1:35" x14ac:dyDescent="0.25">
      <c r="A205" s="60" t="s">
        <v>156</v>
      </c>
      <c r="B205" s="60">
        <v>0.51912464000000003</v>
      </c>
      <c r="C205" s="60">
        <v>0.47661065999999996</v>
      </c>
      <c r="D205" s="60">
        <v>0</v>
      </c>
      <c r="E205" s="60"/>
      <c r="F205" s="60" t="s">
        <v>129</v>
      </c>
      <c r="G205" s="60">
        <v>0</v>
      </c>
      <c r="H205" s="60">
        <v>0</v>
      </c>
      <c r="I205" s="60">
        <v>0</v>
      </c>
      <c r="J205" s="60"/>
      <c r="K205" s="60" t="s">
        <v>56</v>
      </c>
      <c r="L205" s="60">
        <v>4.2500000000000003E-3</v>
      </c>
      <c r="M205" s="60">
        <v>0</v>
      </c>
      <c r="N205" s="46">
        <v>0</v>
      </c>
      <c r="S205" s="20"/>
      <c r="T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 spans="1:35" x14ac:dyDescent="0.25">
      <c r="A206" s="413" t="s">
        <v>160</v>
      </c>
      <c r="B206" s="413">
        <v>3.7533820000000002E-2</v>
      </c>
      <c r="C206" s="413">
        <v>0</v>
      </c>
      <c r="D206" s="413">
        <v>0</v>
      </c>
      <c r="E206" s="413"/>
      <c r="F206" s="413" t="s">
        <v>367</v>
      </c>
      <c r="G206" s="413">
        <v>0</v>
      </c>
      <c r="H206" s="413">
        <v>0</v>
      </c>
      <c r="I206" s="413">
        <v>0</v>
      </c>
      <c r="J206" s="413"/>
      <c r="K206" s="413" t="s">
        <v>61</v>
      </c>
      <c r="L206" s="413">
        <v>4.0041000000000002E-4</v>
      </c>
      <c r="M206" s="413">
        <v>0</v>
      </c>
      <c r="N206" s="419">
        <v>0</v>
      </c>
      <c r="S206" s="20"/>
      <c r="T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x14ac:dyDescent="0.25">
      <c r="A207" s="60" t="s">
        <v>165</v>
      </c>
      <c r="B207" s="60">
        <v>0.36525149000000001</v>
      </c>
      <c r="C207" s="60">
        <v>0</v>
      </c>
      <c r="D207" s="60">
        <v>0</v>
      </c>
      <c r="E207" s="60"/>
      <c r="F207" s="60" t="s">
        <v>130</v>
      </c>
      <c r="G207" s="60">
        <v>0</v>
      </c>
      <c r="H207" s="60">
        <v>0</v>
      </c>
      <c r="I207" s="60">
        <v>0</v>
      </c>
      <c r="J207" s="60"/>
      <c r="K207" s="60" t="s">
        <v>375</v>
      </c>
      <c r="L207" s="60">
        <v>0</v>
      </c>
      <c r="M207" s="60">
        <v>0</v>
      </c>
      <c r="N207" s="46">
        <v>0</v>
      </c>
      <c r="S207" s="20"/>
      <c r="T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 spans="1:35" x14ac:dyDescent="0.25">
      <c r="A208" s="413" t="s">
        <v>167</v>
      </c>
      <c r="B208" s="413">
        <v>0.15975579999999998</v>
      </c>
      <c r="C208" s="413">
        <v>0</v>
      </c>
      <c r="D208" s="413">
        <v>0</v>
      </c>
      <c r="E208" s="413"/>
      <c r="F208" s="413" t="s">
        <v>398</v>
      </c>
      <c r="G208" s="413">
        <v>1.0000000000000001E-5</v>
      </c>
      <c r="H208" s="413">
        <v>0</v>
      </c>
      <c r="I208" s="413">
        <v>0</v>
      </c>
      <c r="J208" s="413"/>
      <c r="K208" s="413" t="s">
        <v>65</v>
      </c>
      <c r="L208" s="413">
        <v>0</v>
      </c>
      <c r="M208" s="413">
        <v>0</v>
      </c>
      <c r="N208" s="419">
        <v>0</v>
      </c>
      <c r="S208" s="20"/>
      <c r="T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x14ac:dyDescent="0.25">
      <c r="A209" s="60" t="s">
        <v>169</v>
      </c>
      <c r="B209" s="60">
        <v>0</v>
      </c>
      <c r="C209" s="60">
        <v>0</v>
      </c>
      <c r="D209" s="60">
        <v>0</v>
      </c>
      <c r="E209" s="60"/>
      <c r="F209" s="60" t="s">
        <v>374</v>
      </c>
      <c r="G209" s="60">
        <v>0</v>
      </c>
      <c r="H209" s="60">
        <v>0</v>
      </c>
      <c r="I209" s="60">
        <v>0</v>
      </c>
      <c r="J209" s="60"/>
      <c r="K209" s="60" t="s">
        <v>73</v>
      </c>
      <c r="L209" s="60">
        <v>8.3724999999999997E-3</v>
      </c>
      <c r="M209" s="60">
        <v>0</v>
      </c>
      <c r="N209" s="46">
        <v>0</v>
      </c>
      <c r="S209" s="20"/>
      <c r="T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 spans="1:35" x14ac:dyDescent="0.25">
      <c r="A210" s="60" t="s">
        <v>170</v>
      </c>
      <c r="B210" s="60">
        <v>0</v>
      </c>
      <c r="C210" s="60">
        <v>0</v>
      </c>
      <c r="D210" s="60">
        <v>0</v>
      </c>
      <c r="E210" s="60"/>
      <c r="F210" s="60" t="s">
        <v>131</v>
      </c>
      <c r="G210" s="60">
        <v>0</v>
      </c>
      <c r="H210" s="60">
        <v>0</v>
      </c>
      <c r="I210" s="60">
        <v>0</v>
      </c>
      <c r="J210" s="60"/>
      <c r="K210" s="60" t="s">
        <v>77</v>
      </c>
      <c r="L210" s="60">
        <v>6.4999999999999997E-3</v>
      </c>
      <c r="M210" s="60">
        <v>0</v>
      </c>
      <c r="N210" s="46">
        <v>0</v>
      </c>
      <c r="S210" s="20"/>
      <c r="T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x14ac:dyDescent="0.25">
      <c r="A211" s="413" t="s">
        <v>172</v>
      </c>
      <c r="B211" s="413">
        <v>0.86644831000000011</v>
      </c>
      <c r="C211" s="413">
        <v>0</v>
      </c>
      <c r="D211" s="413">
        <v>0</v>
      </c>
      <c r="E211" s="413"/>
      <c r="F211" s="413" t="s">
        <v>133</v>
      </c>
      <c r="G211" s="413">
        <v>1.8881099999999999E-3</v>
      </c>
      <c r="H211" s="413">
        <v>1.061E-2</v>
      </c>
      <c r="I211" s="413">
        <v>0</v>
      </c>
      <c r="J211" s="413"/>
      <c r="K211" s="413" t="s">
        <v>379</v>
      </c>
      <c r="L211" s="413">
        <v>0</v>
      </c>
      <c r="M211" s="413">
        <v>0</v>
      </c>
      <c r="N211" s="419">
        <v>0</v>
      </c>
      <c r="S211" s="20"/>
      <c r="T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 spans="1:35" x14ac:dyDescent="0.25">
      <c r="A212" s="60" t="s">
        <v>175</v>
      </c>
      <c r="B212" s="60">
        <v>1.863923E-2</v>
      </c>
      <c r="C212" s="60">
        <v>4.4799200000000001E-3</v>
      </c>
      <c r="D212" s="60">
        <v>0</v>
      </c>
      <c r="E212" s="60"/>
      <c r="F212" s="60" t="s">
        <v>136</v>
      </c>
      <c r="G212" s="60">
        <v>4.7202999999999996E-4</v>
      </c>
      <c r="H212" s="60">
        <v>1.8987E-2</v>
      </c>
      <c r="I212" s="60">
        <v>0</v>
      </c>
      <c r="J212" s="60"/>
      <c r="K212" s="60" t="s">
        <v>86</v>
      </c>
      <c r="L212" s="60">
        <v>1.0038459999999999E-2</v>
      </c>
      <c r="M212" s="60">
        <v>1.311E-2</v>
      </c>
      <c r="N212" s="46">
        <v>0</v>
      </c>
      <c r="S212" s="20"/>
      <c r="T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x14ac:dyDescent="0.25">
      <c r="A213" s="413" t="s">
        <v>176</v>
      </c>
      <c r="B213" s="413">
        <v>0.55151864000000006</v>
      </c>
      <c r="C213" s="413">
        <v>0</v>
      </c>
      <c r="D213" s="413">
        <v>0</v>
      </c>
      <c r="E213" s="413"/>
      <c r="F213" s="413" t="s">
        <v>139</v>
      </c>
      <c r="G213" s="413">
        <v>0</v>
      </c>
      <c r="H213" s="413">
        <v>0</v>
      </c>
      <c r="I213" s="413">
        <v>0</v>
      </c>
      <c r="J213" s="413"/>
      <c r="K213" s="413" t="s">
        <v>348</v>
      </c>
      <c r="L213" s="413">
        <v>3.24223E-3</v>
      </c>
      <c r="M213" s="413">
        <v>0</v>
      </c>
      <c r="N213" s="419">
        <v>0</v>
      </c>
      <c r="S213" s="20"/>
      <c r="T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 spans="1:35" x14ac:dyDescent="0.25">
      <c r="A214" s="60" t="s">
        <v>177</v>
      </c>
      <c r="B214" s="60">
        <v>0.29054068999999999</v>
      </c>
      <c r="C214" s="60">
        <v>0</v>
      </c>
      <c r="D214" s="60">
        <v>0</v>
      </c>
      <c r="E214" s="60"/>
      <c r="F214" s="60" t="s">
        <v>141</v>
      </c>
      <c r="G214" s="60">
        <v>0</v>
      </c>
      <c r="H214" s="60">
        <v>0</v>
      </c>
      <c r="I214" s="60">
        <v>0</v>
      </c>
      <c r="J214" s="60"/>
      <c r="K214" s="60" t="s">
        <v>91</v>
      </c>
      <c r="L214" s="60">
        <v>0</v>
      </c>
      <c r="M214" s="60">
        <v>0</v>
      </c>
      <c r="N214" s="46">
        <v>0</v>
      </c>
      <c r="S214" s="20"/>
      <c r="T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 spans="1:35" x14ac:dyDescent="0.25">
      <c r="A215" s="413" t="s">
        <v>355</v>
      </c>
      <c r="B215" s="413">
        <v>0</v>
      </c>
      <c r="C215" s="413">
        <v>0</v>
      </c>
      <c r="D215" s="413">
        <v>0</v>
      </c>
      <c r="E215" s="413"/>
      <c r="F215" s="413" t="s">
        <v>144</v>
      </c>
      <c r="G215" s="413">
        <v>0</v>
      </c>
      <c r="H215" s="413">
        <v>0</v>
      </c>
      <c r="I215" s="413">
        <v>0</v>
      </c>
      <c r="J215" s="413"/>
      <c r="K215" s="413" t="s">
        <v>364</v>
      </c>
      <c r="L215" s="413">
        <v>0</v>
      </c>
      <c r="M215" s="413">
        <v>0</v>
      </c>
      <c r="N215" s="419">
        <v>0</v>
      </c>
      <c r="S215" s="20"/>
      <c r="T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 spans="1:35" x14ac:dyDescent="0.25">
      <c r="A216" s="60" t="s">
        <v>179</v>
      </c>
      <c r="B216" s="60">
        <v>0</v>
      </c>
      <c r="C216" s="60">
        <v>0</v>
      </c>
      <c r="D216" s="60">
        <v>0</v>
      </c>
      <c r="E216" s="60"/>
      <c r="F216" s="60" t="s">
        <v>147</v>
      </c>
      <c r="G216" s="60">
        <v>0</v>
      </c>
      <c r="H216" s="60">
        <v>0</v>
      </c>
      <c r="I216" s="60">
        <v>0</v>
      </c>
      <c r="J216" s="60"/>
      <c r="K216" s="60" t="s">
        <v>98</v>
      </c>
      <c r="L216" s="60">
        <v>0</v>
      </c>
      <c r="M216" s="60">
        <v>0</v>
      </c>
      <c r="N216" s="46">
        <v>0</v>
      </c>
      <c r="S216" s="20"/>
      <c r="T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 spans="1:35" x14ac:dyDescent="0.25">
      <c r="A217" s="60" t="s">
        <v>180</v>
      </c>
      <c r="B217" s="60">
        <v>0.49111599</v>
      </c>
      <c r="C217" s="60">
        <v>0</v>
      </c>
      <c r="D217" s="60">
        <v>0</v>
      </c>
      <c r="E217" s="60"/>
      <c r="F217" s="60" t="s">
        <v>149</v>
      </c>
      <c r="G217" s="60">
        <v>0</v>
      </c>
      <c r="H217" s="60">
        <v>0</v>
      </c>
      <c r="I217" s="60">
        <v>0</v>
      </c>
      <c r="J217" s="60"/>
      <c r="K217" s="60" t="s">
        <v>99</v>
      </c>
      <c r="L217" s="60">
        <v>0</v>
      </c>
      <c r="M217" s="60">
        <v>0</v>
      </c>
      <c r="N217" s="46">
        <v>0</v>
      </c>
      <c r="S217" s="20"/>
      <c r="T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 spans="1:35" x14ac:dyDescent="0.25">
      <c r="A218" s="413" t="s">
        <v>181</v>
      </c>
      <c r="B218" s="413">
        <v>1.83676E-3</v>
      </c>
      <c r="C218" s="413">
        <v>0</v>
      </c>
      <c r="D218" s="413">
        <v>0</v>
      </c>
      <c r="E218" s="413"/>
      <c r="F218" s="413" t="s">
        <v>150</v>
      </c>
      <c r="G218" s="413">
        <v>6.1544099999999999E-3</v>
      </c>
      <c r="H218" s="413">
        <v>0</v>
      </c>
      <c r="I218" s="413">
        <v>0</v>
      </c>
      <c r="J218" s="413"/>
      <c r="K218" s="413" t="s">
        <v>108</v>
      </c>
      <c r="L218" s="413">
        <v>1E-4</v>
      </c>
      <c r="M218" s="413">
        <v>0</v>
      </c>
      <c r="N218" s="419">
        <v>0</v>
      </c>
      <c r="S218" s="20"/>
      <c r="T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 spans="1:35" x14ac:dyDescent="0.25">
      <c r="A219" s="60" t="s">
        <v>182</v>
      </c>
      <c r="B219" s="60">
        <v>2.0448360000000002E-2</v>
      </c>
      <c r="C219" s="60">
        <v>2.9600143599999997</v>
      </c>
      <c r="D219" s="60">
        <v>0</v>
      </c>
      <c r="E219" s="60"/>
      <c r="F219" s="60" t="s">
        <v>152</v>
      </c>
      <c r="G219" s="60">
        <v>1.8881099999999999E-3</v>
      </c>
      <c r="H219" s="60">
        <v>4.7399999999999997E-4</v>
      </c>
      <c r="I219" s="60">
        <v>0</v>
      </c>
      <c r="J219" s="60"/>
      <c r="K219" s="60" t="s">
        <v>349</v>
      </c>
      <c r="L219" s="60">
        <v>0</v>
      </c>
      <c r="M219" s="60">
        <v>1E-4</v>
      </c>
      <c r="N219" s="46">
        <v>0</v>
      </c>
      <c r="S219" s="20"/>
      <c r="T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 spans="1:35" x14ac:dyDescent="0.25">
      <c r="A220" s="413" t="s">
        <v>183</v>
      </c>
      <c r="B220" s="413">
        <v>0</v>
      </c>
      <c r="C220" s="413">
        <v>0</v>
      </c>
      <c r="D220" s="413">
        <v>0</v>
      </c>
      <c r="E220" s="413"/>
      <c r="F220" s="413" t="s">
        <v>153</v>
      </c>
      <c r="G220" s="413">
        <v>0</v>
      </c>
      <c r="H220" s="413">
        <v>0</v>
      </c>
      <c r="I220" s="413">
        <v>0</v>
      </c>
      <c r="J220" s="413"/>
      <c r="K220" s="413" t="s">
        <v>353</v>
      </c>
      <c r="L220" s="413">
        <v>0</v>
      </c>
      <c r="M220" s="413">
        <v>0</v>
      </c>
      <c r="N220" s="419">
        <v>0</v>
      </c>
      <c r="S220" s="20"/>
      <c r="T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 spans="1:35" x14ac:dyDescent="0.25">
      <c r="A221" s="60" t="s">
        <v>184</v>
      </c>
      <c r="B221" s="60">
        <v>0</v>
      </c>
      <c r="C221" s="60">
        <v>0.38500000000000001</v>
      </c>
      <c r="D221" s="60">
        <v>0</v>
      </c>
      <c r="E221" s="60"/>
      <c r="F221" s="60" t="s">
        <v>154</v>
      </c>
      <c r="G221" s="60">
        <v>0</v>
      </c>
      <c r="H221" s="60">
        <v>0</v>
      </c>
      <c r="I221" s="60">
        <v>0</v>
      </c>
      <c r="J221" s="60"/>
      <c r="K221" s="60" t="s">
        <v>122</v>
      </c>
      <c r="L221" s="60">
        <v>0</v>
      </c>
      <c r="M221" s="60">
        <v>0</v>
      </c>
      <c r="N221" s="46">
        <v>0</v>
      </c>
      <c r="S221" s="20"/>
      <c r="T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 spans="1:35" x14ac:dyDescent="0.25">
      <c r="A222" s="413" t="s">
        <v>191</v>
      </c>
      <c r="B222" s="413">
        <v>6.4782799999999995E-3</v>
      </c>
      <c r="C222" s="413">
        <v>3.9090399999999999E-3</v>
      </c>
      <c r="D222" s="413">
        <v>0</v>
      </c>
      <c r="E222" s="413"/>
      <c r="F222" s="413" t="s">
        <v>156</v>
      </c>
      <c r="G222" s="413">
        <v>9.7953999999999988E-4</v>
      </c>
      <c r="H222" s="413">
        <v>6.1766E-3</v>
      </c>
      <c r="I222" s="413">
        <v>0</v>
      </c>
      <c r="J222" s="413"/>
      <c r="K222" s="413" t="s">
        <v>367</v>
      </c>
      <c r="L222" s="413">
        <v>0</v>
      </c>
      <c r="M222" s="413">
        <v>0</v>
      </c>
      <c r="N222" s="419">
        <v>0</v>
      </c>
      <c r="S222" s="20"/>
      <c r="T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 spans="1:35" x14ac:dyDescent="0.25">
      <c r="A223" s="60" t="s">
        <v>193</v>
      </c>
      <c r="B223" s="60">
        <v>7.8500910000000007E-2</v>
      </c>
      <c r="C223" s="60">
        <v>3.2361330000000001E-2</v>
      </c>
      <c r="D223" s="60">
        <v>0</v>
      </c>
      <c r="E223" s="60"/>
      <c r="F223" s="60" t="s">
        <v>160</v>
      </c>
      <c r="G223" s="60">
        <v>1.5085600000000001E-2</v>
      </c>
      <c r="H223" s="60">
        <v>5.4735000000000005E-4</v>
      </c>
      <c r="I223" s="60">
        <v>0</v>
      </c>
      <c r="J223" s="60"/>
      <c r="K223" s="60" t="s">
        <v>398</v>
      </c>
      <c r="L223" s="60">
        <v>0</v>
      </c>
      <c r="M223" s="60">
        <v>0</v>
      </c>
      <c r="N223" s="46">
        <v>0</v>
      </c>
      <c r="S223" s="20"/>
      <c r="T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 spans="1:35" x14ac:dyDescent="0.25">
      <c r="A224" s="60" t="s">
        <v>194</v>
      </c>
      <c r="B224" s="60">
        <v>0</v>
      </c>
      <c r="C224" s="60">
        <v>0</v>
      </c>
      <c r="D224" s="60">
        <v>0</v>
      </c>
      <c r="E224" s="60"/>
      <c r="F224" s="60" t="s">
        <v>169</v>
      </c>
      <c r="G224" s="60">
        <v>0</v>
      </c>
      <c r="H224" s="60">
        <v>0</v>
      </c>
      <c r="I224" s="60">
        <v>0</v>
      </c>
      <c r="J224" s="60"/>
      <c r="K224" s="60" t="s">
        <v>374</v>
      </c>
      <c r="L224" s="60">
        <v>1.4073450000000001E-2</v>
      </c>
      <c r="M224" s="60">
        <v>0</v>
      </c>
      <c r="N224" s="46">
        <v>0</v>
      </c>
      <c r="S224" s="20"/>
      <c r="T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 spans="1:36" x14ac:dyDescent="0.25">
      <c r="A225" s="413" t="s">
        <v>199</v>
      </c>
      <c r="B225" s="413">
        <v>1.6936389999999999E-2</v>
      </c>
      <c r="C225" s="413">
        <v>0</v>
      </c>
      <c r="D225" s="413">
        <v>0</v>
      </c>
      <c r="E225" s="413"/>
      <c r="F225" s="413" t="s">
        <v>170</v>
      </c>
      <c r="G225" s="413">
        <v>2.8321700000000002E-3</v>
      </c>
      <c r="H225" s="413">
        <v>1.0000000000000001E-5</v>
      </c>
      <c r="I225" s="413">
        <v>0</v>
      </c>
      <c r="J225" s="413"/>
      <c r="K225" s="413" t="s">
        <v>139</v>
      </c>
      <c r="L225" s="413">
        <v>0</v>
      </c>
      <c r="M225" s="413">
        <v>0</v>
      </c>
      <c r="N225" s="419">
        <v>0</v>
      </c>
      <c r="S225" s="20"/>
      <c r="T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 spans="1:36" x14ac:dyDescent="0.25">
      <c r="A226" s="60" t="s">
        <v>200</v>
      </c>
      <c r="B226" s="60">
        <v>7.5875230000000002E-2</v>
      </c>
      <c r="C226" s="60">
        <v>0</v>
      </c>
      <c r="D226" s="60">
        <v>0</v>
      </c>
      <c r="E226" s="60"/>
      <c r="F226" s="60" t="s">
        <v>355</v>
      </c>
      <c r="G226" s="60">
        <v>0</v>
      </c>
      <c r="H226" s="60">
        <v>0</v>
      </c>
      <c r="I226" s="60">
        <v>0</v>
      </c>
      <c r="J226" s="60"/>
      <c r="K226" s="60" t="s">
        <v>170</v>
      </c>
      <c r="L226" s="60">
        <v>5.6379999999999998E-3</v>
      </c>
      <c r="M226" s="60">
        <v>0</v>
      </c>
      <c r="N226" s="46">
        <v>0</v>
      </c>
      <c r="S226" s="20"/>
      <c r="T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 spans="1:36" x14ac:dyDescent="0.25">
      <c r="A227" s="413" t="s">
        <v>201</v>
      </c>
      <c r="B227" s="413">
        <v>2.3721199999999997E-3</v>
      </c>
      <c r="C227" s="413">
        <v>0</v>
      </c>
      <c r="D227" s="413">
        <v>0</v>
      </c>
      <c r="E227" s="413"/>
      <c r="F227" s="413" t="s">
        <v>179</v>
      </c>
      <c r="G227" s="413">
        <v>0</v>
      </c>
      <c r="H227" s="413">
        <v>0</v>
      </c>
      <c r="I227" s="413">
        <v>0</v>
      </c>
      <c r="J227" s="413"/>
      <c r="K227" s="413" t="s">
        <v>183</v>
      </c>
      <c r="L227" s="413">
        <v>0.25900000000000001</v>
      </c>
      <c r="M227" s="413">
        <v>0</v>
      </c>
      <c r="N227" s="419">
        <v>0</v>
      </c>
      <c r="S227" s="20"/>
      <c r="T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6" x14ac:dyDescent="0.25">
      <c r="A228" s="60" t="s">
        <v>356</v>
      </c>
      <c r="B228" s="60">
        <v>0</v>
      </c>
      <c r="C228" s="60">
        <v>0</v>
      </c>
      <c r="D228" s="60">
        <v>0</v>
      </c>
      <c r="E228" s="60"/>
      <c r="F228" s="60" t="s">
        <v>181</v>
      </c>
      <c r="G228" s="60">
        <v>0.03</v>
      </c>
      <c r="H228" s="60">
        <v>0.01</v>
      </c>
      <c r="I228" s="60">
        <v>0</v>
      </c>
      <c r="J228" s="60"/>
      <c r="K228" s="60" t="s">
        <v>194</v>
      </c>
      <c r="L228" s="60">
        <v>2.30365E-3</v>
      </c>
      <c r="M228" s="60">
        <v>0.161159</v>
      </c>
      <c r="N228" s="46">
        <v>0</v>
      </c>
      <c r="S228" s="20"/>
      <c r="T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 spans="1:36" x14ac:dyDescent="0.25">
      <c r="A229" s="413" t="s">
        <v>203</v>
      </c>
      <c r="B229" s="413">
        <v>8.778656E-2</v>
      </c>
      <c r="C229" s="413">
        <v>0</v>
      </c>
      <c r="D229" s="413">
        <v>0</v>
      </c>
      <c r="E229" s="413"/>
      <c r="F229" s="413" t="s">
        <v>182</v>
      </c>
      <c r="G229" s="413">
        <v>0</v>
      </c>
      <c r="H229" s="413">
        <v>0</v>
      </c>
      <c r="I229" s="413">
        <v>0</v>
      </c>
      <c r="J229" s="413"/>
      <c r="K229" s="413" t="s">
        <v>199</v>
      </c>
      <c r="L229" s="413">
        <v>1.4847E-3</v>
      </c>
      <c r="M229" s="413">
        <v>9.6351100000000005E-3</v>
      </c>
      <c r="N229" s="419">
        <v>0</v>
      </c>
      <c r="S229" s="20"/>
      <c r="T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 spans="1:36" x14ac:dyDescent="0.25">
      <c r="A230" s="60" t="s">
        <v>204</v>
      </c>
      <c r="B230" s="60">
        <v>0.55613657999999999</v>
      </c>
      <c r="C230" s="60">
        <v>0</v>
      </c>
      <c r="D230" s="60">
        <v>0</v>
      </c>
      <c r="E230" s="60"/>
      <c r="F230" s="60" t="s">
        <v>183</v>
      </c>
      <c r="G230" s="60">
        <v>0</v>
      </c>
      <c r="H230" s="60">
        <v>0</v>
      </c>
      <c r="I230" s="60">
        <v>0</v>
      </c>
      <c r="J230" s="60"/>
      <c r="K230" s="60" t="s">
        <v>201</v>
      </c>
      <c r="L230" s="60">
        <v>0</v>
      </c>
      <c r="M230" s="60">
        <v>3.8614999999999997E-2</v>
      </c>
      <c r="N230" s="46">
        <v>0</v>
      </c>
      <c r="S230" s="20"/>
      <c r="T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 spans="1:36" x14ac:dyDescent="0.25">
      <c r="A231" s="60" t="s">
        <v>205</v>
      </c>
      <c r="B231" s="60">
        <v>1.7876E-4</v>
      </c>
      <c r="C231" s="60">
        <v>0</v>
      </c>
      <c r="D231" s="60">
        <v>0</v>
      </c>
      <c r="E231" s="60"/>
      <c r="F231" s="60" t="s">
        <v>185</v>
      </c>
      <c r="G231" s="60">
        <v>0</v>
      </c>
      <c r="H231" s="60">
        <v>0</v>
      </c>
      <c r="I231" s="60">
        <v>0</v>
      </c>
      <c r="J231" s="60"/>
      <c r="K231" s="60" t="s">
        <v>356</v>
      </c>
      <c r="L231" s="60">
        <v>1.6E-2</v>
      </c>
      <c r="M231" s="60">
        <v>4.7121200000000002E-3</v>
      </c>
      <c r="N231" s="46">
        <v>0</v>
      </c>
      <c r="S231" s="20"/>
      <c r="T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 spans="1:36" x14ac:dyDescent="0.25">
      <c r="A232" s="413" t="s">
        <v>206</v>
      </c>
      <c r="B232" s="413">
        <v>0</v>
      </c>
      <c r="C232" s="413">
        <v>0</v>
      </c>
      <c r="D232" s="413">
        <v>0</v>
      </c>
      <c r="E232" s="413"/>
      <c r="F232" s="413" t="s">
        <v>187</v>
      </c>
      <c r="G232" s="413">
        <v>0</v>
      </c>
      <c r="H232" s="413">
        <v>0</v>
      </c>
      <c r="I232" s="413">
        <v>0</v>
      </c>
      <c r="J232" s="413"/>
      <c r="K232" s="413" t="s">
        <v>203</v>
      </c>
      <c r="L232" s="413">
        <v>0</v>
      </c>
      <c r="M232" s="413">
        <v>0</v>
      </c>
      <c r="N232" s="419">
        <v>0</v>
      </c>
      <c r="S232" s="20"/>
      <c r="T232" s="18"/>
      <c r="U232" s="18"/>
      <c r="V232" s="18"/>
      <c r="W232" s="20"/>
      <c r="X232" s="18"/>
      <c r="Y232" s="18"/>
      <c r="Z232" s="18"/>
      <c r="AA232" s="18"/>
      <c r="AB232" s="18"/>
      <c r="AC232" s="18"/>
      <c r="AD232" s="20"/>
      <c r="AE232" s="20"/>
      <c r="AF232" s="18"/>
      <c r="AG232" s="18"/>
      <c r="AH232" s="18"/>
      <c r="AI232" s="18"/>
    </row>
    <row r="233" spans="1:36" x14ac:dyDescent="0.25">
      <c r="A233" s="60" t="s">
        <v>213</v>
      </c>
      <c r="B233" s="60">
        <v>8.5318300000000007E-3</v>
      </c>
      <c r="C233" s="60">
        <v>0</v>
      </c>
      <c r="D233" s="60">
        <v>0</v>
      </c>
      <c r="E233" s="60"/>
      <c r="F233" s="60" t="s">
        <v>199</v>
      </c>
      <c r="G233" s="60">
        <v>0</v>
      </c>
      <c r="H233" s="60">
        <v>4.2141999999999999E-2</v>
      </c>
      <c r="I233" s="60">
        <v>0</v>
      </c>
      <c r="J233" s="60"/>
      <c r="K233" s="60" t="s">
        <v>206</v>
      </c>
      <c r="L233" s="60">
        <v>0.53495400000000004</v>
      </c>
      <c r="M233" s="60">
        <v>0</v>
      </c>
      <c r="N233" s="46">
        <v>0</v>
      </c>
      <c r="S233" s="20"/>
      <c r="T233" s="18"/>
      <c r="U233" s="18"/>
      <c r="V233" s="18"/>
      <c r="W233" s="20"/>
      <c r="X233" s="18"/>
      <c r="Y233" s="18"/>
      <c r="Z233" s="18"/>
      <c r="AA233" s="18"/>
      <c r="AB233" s="18"/>
      <c r="AC233" s="18"/>
      <c r="AD233" s="20"/>
      <c r="AE233" s="20"/>
      <c r="AF233" s="18"/>
      <c r="AG233" s="18"/>
      <c r="AH233" s="18"/>
      <c r="AI233" s="18"/>
    </row>
    <row r="234" spans="1:36" x14ac:dyDescent="0.25">
      <c r="A234" s="413" t="s">
        <v>216</v>
      </c>
      <c r="B234" s="413">
        <v>0</v>
      </c>
      <c r="C234" s="413">
        <v>0</v>
      </c>
      <c r="D234" s="413">
        <v>0</v>
      </c>
      <c r="E234" s="413"/>
      <c r="F234" s="413" t="s">
        <v>206</v>
      </c>
      <c r="G234" s="413">
        <v>7.40692E-3</v>
      </c>
      <c r="H234" s="413">
        <v>0</v>
      </c>
      <c r="I234" s="413">
        <v>0</v>
      </c>
      <c r="J234" s="413"/>
      <c r="K234" s="413" t="s">
        <v>216</v>
      </c>
      <c r="L234" s="413">
        <v>0</v>
      </c>
      <c r="M234" s="413">
        <v>0</v>
      </c>
      <c r="N234" s="419">
        <v>0</v>
      </c>
      <c r="S234" s="20"/>
      <c r="T234" s="18"/>
      <c r="U234" s="18"/>
      <c r="V234" s="18"/>
      <c r="W234" s="20"/>
      <c r="X234" s="18"/>
      <c r="Y234" s="18"/>
      <c r="Z234" s="18"/>
      <c r="AA234" s="18"/>
      <c r="AB234" s="18"/>
      <c r="AC234" s="18"/>
      <c r="AD234" s="20"/>
      <c r="AE234" s="20"/>
      <c r="AF234" s="18"/>
      <c r="AG234" s="18"/>
      <c r="AH234" s="18"/>
      <c r="AI234" s="18"/>
    </row>
    <row r="235" spans="1:36" ht="13" x14ac:dyDescent="0.3">
      <c r="A235" s="414" t="s">
        <v>217</v>
      </c>
      <c r="B235" s="415">
        <f>SUM('Tab26 Cmodties by mode of t '!$B$5:$B$234)</f>
        <v>4421.9115609000019</v>
      </c>
      <c r="C235" s="415">
        <f>SUM('Tab26 Cmodties by mode of t '!$C$5:$C$234)</f>
        <v>4023.9752365699997</v>
      </c>
      <c r="D235" s="415">
        <f>SUM('Tab26 Cmodties by mode of t '!$D$5:$D$234)</f>
        <v>6405.4905156300028</v>
      </c>
      <c r="E235" s="414"/>
      <c r="F235" s="414"/>
      <c r="G235" s="415">
        <f>SUBTOTAL(109,'Tab26 Cmodties by mode of t '!$G$5:$G$234)</f>
        <v>2899.1392090300014</v>
      </c>
      <c r="H235" s="415">
        <f>SUBTOTAL(109,'Tab26 Cmodties by mode of t '!$H$5:$H$234)</f>
        <v>3890.8596761799968</v>
      </c>
      <c r="I235" s="415">
        <f>SUBTOTAL(109,'Tab26 Cmodties by mode of t '!$I$5:$I$234)</f>
        <v>2668.3587311300034</v>
      </c>
      <c r="J235" s="414"/>
      <c r="K235" s="414"/>
      <c r="L235" s="415">
        <f>SUBTOTAL(109,'Tab26 Cmodties by mode of t '!$L$5:$L$234)</f>
        <v>2818.489077440001</v>
      </c>
      <c r="M235" s="415">
        <f>SUBTOTAL(109,'Tab26 Cmodties by mode of t '!$M$5:$M$234)</f>
        <v>2800.501645419999</v>
      </c>
      <c r="N235" s="416">
        <f>SUBTOTAL(109,'Tab26 Cmodties by mode of t '!$N$5:$N$234)</f>
        <v>2363.594588779999</v>
      </c>
    </row>
    <row r="236" spans="1:36" x14ac:dyDescent="0.25">
      <c r="D236" s="34"/>
    </row>
    <row r="238" spans="1:36" ht="13" x14ac:dyDescent="0.3">
      <c r="P238" s="11"/>
      <c r="Q238" s="11"/>
    </row>
    <row r="239" spans="1:36" s="11" customFormat="1" ht="13" x14ac:dyDescent="0.3">
      <c r="F239" s="20"/>
      <c r="G239" s="20"/>
      <c r="H239" s="20"/>
      <c r="I239" s="20"/>
      <c r="P239" s="20"/>
      <c r="Q239" s="20"/>
      <c r="S239" s="324"/>
      <c r="W239" s="324"/>
      <c r="Y239" s="324"/>
      <c r="Z239" s="324"/>
      <c r="AD239" s="324"/>
      <c r="AE239" s="324"/>
      <c r="AJ239" s="324"/>
    </row>
    <row r="240" spans="1:36" ht="13" x14ac:dyDescent="0.3">
      <c r="F240" s="11"/>
      <c r="G240" s="11"/>
      <c r="H240" s="11"/>
      <c r="I240" s="11"/>
      <c r="P240" s="11"/>
      <c r="Q240" s="11"/>
    </row>
    <row r="241" spans="6:36" s="11" customFormat="1" ht="13" x14ac:dyDescent="0.3">
      <c r="F241" s="20"/>
      <c r="G241" s="20"/>
      <c r="H241" s="20"/>
      <c r="I241" s="20"/>
      <c r="P241" s="20"/>
      <c r="Q241" s="20"/>
      <c r="S241" s="324"/>
      <c r="W241" s="324"/>
      <c r="Y241" s="324"/>
      <c r="Z241" s="324"/>
      <c r="AD241" s="324"/>
      <c r="AE241" s="324"/>
      <c r="AJ241" s="324"/>
    </row>
    <row r="242" spans="6:36" ht="13" x14ac:dyDescent="0.3">
      <c r="F242" s="11"/>
      <c r="G242" s="11"/>
      <c r="H242" s="11"/>
      <c r="I242" s="11"/>
    </row>
  </sheetData>
  <sortState xmlns:xlrd2="http://schemas.microsoft.com/office/spreadsheetml/2017/richdata2" ref="AF2:AI231">
    <sortCondition descending="1" ref="AI2:AI231"/>
  </sortState>
  <mergeCells count="8">
    <mergeCell ref="B3:C3"/>
    <mergeCell ref="G3:H3"/>
    <mergeCell ref="L3:M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I27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36328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81640625" style="1" bestFit="1" customWidth="1"/>
    <col min="7" max="7" width="9.1796875" style="1"/>
    <col min="8" max="8" width="11.1796875" style="1" bestFit="1" customWidth="1"/>
    <col min="9" max="16384" width="9.1796875" style="1"/>
  </cols>
  <sheetData>
    <row r="1" spans="1:9" ht="13" x14ac:dyDescent="0.3">
      <c r="A1" s="3" t="s">
        <v>396</v>
      </c>
      <c r="B1" s="101"/>
      <c r="C1" s="66"/>
      <c r="D1" s="3"/>
      <c r="H1" s="628" t="s">
        <v>239</v>
      </c>
      <c r="I1" s="628"/>
    </row>
    <row r="2" spans="1:9" ht="13" x14ac:dyDescent="0.3">
      <c r="A2" s="100" t="s">
        <v>391</v>
      </c>
      <c r="B2" s="154">
        <v>45658</v>
      </c>
      <c r="C2" s="154">
        <v>45992</v>
      </c>
      <c r="D2" s="154">
        <v>46023</v>
      </c>
      <c r="E2" s="99" t="s">
        <v>439</v>
      </c>
      <c r="F2" s="99" t="s">
        <v>440</v>
      </c>
    </row>
    <row r="3" spans="1:9" x14ac:dyDescent="0.25">
      <c r="A3" s="130" t="s">
        <v>389</v>
      </c>
      <c r="B3" s="130">
        <v>200452.96682000102</v>
      </c>
      <c r="C3" s="130">
        <v>178169.56396999999</v>
      </c>
      <c r="D3" s="130">
        <v>144839.371080001</v>
      </c>
      <c r="E3" s="71">
        <f>((Table421116[[#This Row],[Column4]]/Table421116[[#This Row],[Column3]])-1)*100</f>
        <v>-18.707007048415459</v>
      </c>
      <c r="F3" s="279">
        <f>((Table421116[[#This Row],[Column4]]/Table421116[[#This Row],[Column2]])-1)*100</f>
        <v>-27.743962397892009</v>
      </c>
      <c r="H3" s="2"/>
      <c r="I3" s="2"/>
    </row>
    <row r="4" spans="1:9" x14ac:dyDescent="0.25">
      <c r="A4" s="61" t="s">
        <v>388</v>
      </c>
      <c r="B4" s="61">
        <v>194966.09818000099</v>
      </c>
      <c r="C4" s="61">
        <v>167326.60863000102</v>
      </c>
      <c r="D4" s="61">
        <v>161479.66799000002</v>
      </c>
      <c r="E4" s="71">
        <f>((Table421116[[#This Row],[Column4]]/Table421116[[#This Row],[Column3]])-1)*100</f>
        <v>-3.4943280616712813</v>
      </c>
      <c r="F4" s="279">
        <f>((Table421116[[#This Row],[Column4]]/Table421116[[#This Row],[Column2]])-1)*100</f>
        <v>-17.175514359981126</v>
      </c>
    </row>
    <row r="5" spans="1:9" x14ac:dyDescent="0.25">
      <c r="A5" s="61" t="s">
        <v>387</v>
      </c>
      <c r="B5" s="61">
        <v>107.68149000000001</v>
      </c>
      <c r="C5" s="61">
        <v>112.939669848957</v>
      </c>
      <c r="D5" s="61">
        <v>121.10380000000001</v>
      </c>
      <c r="E5" s="71">
        <f>((Table421116[[#This Row],[Column4]]/Table421116[[#This Row],[Column3]])-1)*100</f>
        <v>7.2287533352643374</v>
      </c>
      <c r="F5" s="279">
        <f>((Table421116[[#This Row],[Column4]]/Table421116[[#This Row],[Column2]])-1)*100</f>
        <v>12.464825663166422</v>
      </c>
    </row>
    <row r="6" spans="1:9" x14ac:dyDescent="0.25">
      <c r="A6" s="61" t="s">
        <v>437</v>
      </c>
      <c r="B6" s="61">
        <v>0</v>
      </c>
      <c r="C6" s="61">
        <v>0.92</v>
      </c>
      <c r="D6" s="61">
        <v>0</v>
      </c>
      <c r="E6" s="71" t="s">
        <v>240</v>
      </c>
      <c r="F6" s="279" t="s">
        <v>240</v>
      </c>
    </row>
    <row r="7" spans="1:9" x14ac:dyDescent="0.25">
      <c r="A7" s="61" t="s">
        <v>660</v>
      </c>
      <c r="B7" s="61">
        <v>0</v>
      </c>
      <c r="C7" s="61">
        <v>0</v>
      </c>
      <c r="D7" s="61">
        <v>55.291170000000001</v>
      </c>
      <c r="E7" s="71" t="s">
        <v>240</v>
      </c>
      <c r="F7" s="279" t="s">
        <v>240</v>
      </c>
    </row>
    <row r="8" spans="1:9" ht="13" x14ac:dyDescent="0.3">
      <c r="A8" s="460" t="s">
        <v>312</v>
      </c>
      <c r="B8" s="42">
        <f>SUM(B3:B7)</f>
        <v>395526.74649000203</v>
      </c>
      <c r="C8" s="42">
        <f>SUM(C3:C7)</f>
        <v>345610.03226984991</v>
      </c>
      <c r="D8" s="42">
        <f>SUM(D3:D7)</f>
        <v>306495.43404000095</v>
      </c>
      <c r="E8" s="356">
        <f>((Table421116[[#Totals],[Column4]]/Table421116[[#Totals],[Column3]])-1)*100</f>
        <v>-11.317552900000472</v>
      </c>
      <c r="F8" s="356">
        <f>((Table421116[[#Totals],[Column4]]/Table421116[[#Totals],[Column2]])-1)*100</f>
        <v>-22.509555482678735</v>
      </c>
      <c r="H8" s="4"/>
    </row>
    <row r="9" spans="1:9" x14ac:dyDescent="0.25">
      <c r="D9" s="2"/>
      <c r="H9" s="4"/>
    </row>
    <row r="10" spans="1:9" x14ac:dyDescent="0.25">
      <c r="D10" s="97"/>
      <c r="H10" s="4"/>
    </row>
    <row r="11" spans="1:9" x14ac:dyDescent="0.25">
      <c r="D11" s="2"/>
      <c r="E11" s="2"/>
      <c r="H11" s="4"/>
    </row>
    <row r="12" spans="1:9" x14ac:dyDescent="0.25">
      <c r="F12" s="13"/>
      <c r="G12" s="13"/>
      <c r="H12" s="13"/>
    </row>
    <row r="13" spans="1:9" x14ac:dyDescent="0.25">
      <c r="F13" s="13"/>
      <c r="G13" s="13"/>
      <c r="H13" s="13"/>
    </row>
    <row r="14" spans="1:9" x14ac:dyDescent="0.25">
      <c r="F14" s="13"/>
      <c r="G14" s="13"/>
      <c r="H14" s="13"/>
    </row>
    <row r="15" spans="1:9" x14ac:dyDescent="0.25">
      <c r="F15" s="13"/>
      <c r="G15" s="13"/>
      <c r="H15" s="13"/>
    </row>
    <row r="16" spans="1:9" x14ac:dyDescent="0.25">
      <c r="F16" s="13"/>
      <c r="G16" s="13"/>
      <c r="H16" s="13"/>
    </row>
    <row r="17" spans="4:8" x14ac:dyDescent="0.25">
      <c r="E17" s="2"/>
      <c r="F17" s="13"/>
      <c r="G17" s="13"/>
      <c r="H17" s="13"/>
    </row>
    <row r="19" spans="4:8" x14ac:dyDescent="0.25">
      <c r="D19" s="417"/>
    </row>
    <row r="22" spans="4:8" x14ac:dyDescent="0.25">
      <c r="D22" s="4"/>
      <c r="E22" s="4"/>
      <c r="F22" s="4"/>
      <c r="G22" s="4"/>
    </row>
    <row r="23" spans="4:8" x14ac:dyDescent="0.25">
      <c r="D23" s="4"/>
      <c r="E23" s="4"/>
      <c r="F23" s="4"/>
      <c r="G23" s="4"/>
    </row>
    <row r="24" spans="4:8" x14ac:dyDescent="0.25">
      <c r="D24" s="4"/>
      <c r="E24" s="4"/>
      <c r="F24" s="4"/>
      <c r="G24" s="4"/>
    </row>
    <row r="25" spans="4:8" x14ac:dyDescent="0.25">
      <c r="D25" s="4"/>
      <c r="E25" s="4"/>
      <c r="F25" s="4"/>
      <c r="G25" s="4"/>
    </row>
    <row r="26" spans="4:8" x14ac:dyDescent="0.25">
      <c r="D26" s="4"/>
      <c r="E26" s="4"/>
      <c r="F26" s="4"/>
      <c r="G26" s="4"/>
    </row>
    <row r="27" spans="4:8" x14ac:dyDescent="0.25">
      <c r="D27" s="4"/>
      <c r="E27" s="4"/>
      <c r="F27" s="4"/>
      <c r="G27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M29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8.7265625" style="318" customWidth="1"/>
    <col min="2" max="2" width="11.453125" style="318" bestFit="1" customWidth="1"/>
    <col min="3" max="3" width="9.1796875" style="318" bestFit="1" customWidth="1"/>
    <col min="4" max="4" width="11.453125" style="318" bestFit="1" customWidth="1"/>
    <col min="5" max="5" width="7.453125" style="318" bestFit="1" customWidth="1"/>
    <col min="6" max="6" width="12.453125" style="318" customWidth="1"/>
    <col min="7" max="7" width="9.54296875" style="318" customWidth="1"/>
    <col min="8" max="8" width="8.1796875" style="318" customWidth="1"/>
    <col min="9" max="9" width="9.453125" style="318" customWidth="1"/>
    <col min="10" max="10" width="9.1796875" style="318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3" ht="13" x14ac:dyDescent="0.3">
      <c r="A1" s="11" t="s">
        <v>397</v>
      </c>
      <c r="K1" s="628" t="s">
        <v>239</v>
      </c>
      <c r="L1" s="628"/>
    </row>
    <row r="2" spans="1:13" ht="13" x14ac:dyDescent="0.3">
      <c r="A2" s="606" t="s">
        <v>391</v>
      </c>
      <c r="B2" s="605">
        <v>45658</v>
      </c>
      <c r="C2" s="605"/>
      <c r="D2" s="605">
        <v>45995</v>
      </c>
      <c r="E2" s="605"/>
      <c r="F2" s="605">
        <v>46023</v>
      </c>
      <c r="G2" s="605"/>
      <c r="H2" s="630" t="s">
        <v>241</v>
      </c>
      <c r="I2" s="630" t="s">
        <v>390</v>
      </c>
    </row>
    <row r="3" spans="1:13" ht="13" x14ac:dyDescent="0.3">
      <c r="A3" s="607"/>
      <c r="B3" s="6" t="s">
        <v>296</v>
      </c>
      <c r="C3" s="105" t="s">
        <v>234</v>
      </c>
      <c r="D3" s="6" t="s">
        <v>296</v>
      </c>
      <c r="E3" s="105" t="s">
        <v>234</v>
      </c>
      <c r="F3" s="6" t="s">
        <v>296</v>
      </c>
      <c r="G3" s="105" t="s">
        <v>234</v>
      </c>
      <c r="H3" s="631"/>
      <c r="I3" s="631"/>
    </row>
    <row r="4" spans="1:13" x14ac:dyDescent="0.25">
      <c r="A4" s="130" t="s">
        <v>388</v>
      </c>
      <c r="B4" s="130">
        <v>5760.8322001699107</v>
      </c>
      <c r="C4" s="104">
        <f t="shared" ref="C4:C10" si="0">(B4/$B$10)*100</f>
        <v>44.029531726252323</v>
      </c>
      <c r="D4" s="130">
        <v>6815.7432638398896</v>
      </c>
      <c r="E4" s="104">
        <f t="shared" ref="E4:E10" si="1">(D4/$D$10)*100</f>
        <v>61.369332772121346</v>
      </c>
      <c r="F4" s="130">
        <v>6328.8095347900698</v>
      </c>
      <c r="G4" s="104">
        <f>(F4/$F$10)*100</f>
        <v>56.284561484650339</v>
      </c>
      <c r="H4" s="104">
        <f>((F4/D4)-1)*100</f>
        <v>-7.1442498668221273</v>
      </c>
      <c r="I4" s="104">
        <f>((F4/B4)-1)*100</f>
        <v>9.8592931521839446</v>
      </c>
    </row>
    <row r="5" spans="1:13" x14ac:dyDescent="0.25">
      <c r="A5" s="61" t="s">
        <v>389</v>
      </c>
      <c r="B5" s="61">
        <v>6965.4215308099901</v>
      </c>
      <c r="C5" s="103">
        <f t="shared" si="0"/>
        <v>53.23610159457067</v>
      </c>
      <c r="D5" s="61">
        <v>3802.85832424002</v>
      </c>
      <c r="E5" s="103">
        <f t="shared" si="1"/>
        <v>34.241148610112887</v>
      </c>
      <c r="F5" s="61">
        <v>4466.95416183</v>
      </c>
      <c r="G5" s="103">
        <f t="shared" ref="G5:G9" si="2">(F5/$F$10)*100</f>
        <v>39.72635845470662</v>
      </c>
      <c r="H5" s="103">
        <f>((F5/D5)-1)*100</f>
        <v>17.463070694927762</v>
      </c>
      <c r="I5" s="103">
        <f>((F5/B5)-1)*100</f>
        <v>-35.869578860785047</v>
      </c>
    </row>
    <row r="6" spans="1:13" x14ac:dyDescent="0.25">
      <c r="A6" s="61" t="s">
        <v>387</v>
      </c>
      <c r="B6" s="61">
        <v>355.92683245000001</v>
      </c>
      <c r="C6" s="103">
        <f t="shared" si="0"/>
        <v>2.7203173460111474</v>
      </c>
      <c r="D6" s="61">
        <v>483.31740708109999</v>
      </c>
      <c r="E6" s="103">
        <f t="shared" si="1"/>
        <v>4.351816909988532</v>
      </c>
      <c r="F6" s="61">
        <v>446.11282108999995</v>
      </c>
      <c r="G6" s="103">
        <f>(F6/$F$10)*100</f>
        <v>3.9674546010119118</v>
      </c>
      <c r="H6" s="103">
        <f>((F6/D6)-1)*100</f>
        <v>-7.69775419755514</v>
      </c>
      <c r="I6" s="103">
        <f>((F6/B6)-1)*100</f>
        <v>25.338350587172755</v>
      </c>
    </row>
    <row r="7" spans="1:13" x14ac:dyDescent="0.25">
      <c r="A7" s="61" t="s">
        <v>437</v>
      </c>
      <c r="B7" s="61">
        <v>1.7633691899999999</v>
      </c>
      <c r="C7" s="103">
        <f t="shared" si="0"/>
        <v>1.3477274983623186E-2</v>
      </c>
      <c r="D7" s="61">
        <v>3.4115323900000001</v>
      </c>
      <c r="E7" s="103">
        <f t="shared" si="1"/>
        <v>3.0717628056140738E-2</v>
      </c>
      <c r="F7" s="61">
        <v>2.2855427499999998</v>
      </c>
      <c r="G7" s="103">
        <f>(F7/$F$10)*100</f>
        <v>2.03262194463305E-2</v>
      </c>
      <c r="H7" s="103" t="s">
        <v>240</v>
      </c>
      <c r="I7" s="103" t="s">
        <v>240</v>
      </c>
    </row>
    <row r="8" spans="1:13" x14ac:dyDescent="0.25">
      <c r="A8" s="61" t="s">
        <v>386</v>
      </c>
      <c r="B8" s="61">
        <v>7.4848200000000004E-2</v>
      </c>
      <c r="C8" s="103">
        <f t="shared" si="0"/>
        <v>5.7205818222854689E-4</v>
      </c>
      <c r="D8" s="61">
        <v>0.7756593100000001</v>
      </c>
      <c r="E8" s="103">
        <f t="shared" si="1"/>
        <v>6.9840797210964688E-3</v>
      </c>
      <c r="F8" s="61">
        <v>9.9264000000000005E-2</v>
      </c>
      <c r="G8" s="103">
        <f t="shared" si="2"/>
        <v>8.8279330899435212E-4</v>
      </c>
      <c r="H8" s="103" t="s">
        <v>240</v>
      </c>
      <c r="I8" s="103" t="s">
        <v>240</v>
      </c>
    </row>
    <row r="9" spans="1:13" x14ac:dyDescent="0.25">
      <c r="A9" s="50" t="s">
        <v>686</v>
      </c>
      <c r="B9" s="50">
        <v>0</v>
      </c>
      <c r="C9" s="427">
        <f t="shared" si="0"/>
        <v>0</v>
      </c>
      <c r="D9" s="50">
        <v>0</v>
      </c>
      <c r="E9" s="427">
        <f t="shared" si="1"/>
        <v>0</v>
      </c>
      <c r="F9" s="50">
        <v>4.6826569999999998E-2</v>
      </c>
      <c r="G9" s="427">
        <f t="shared" si="2"/>
        <v>4.1644687579742552E-4</v>
      </c>
      <c r="H9" s="427" t="s">
        <v>240</v>
      </c>
      <c r="I9" s="103" t="s">
        <v>240</v>
      </c>
    </row>
    <row r="10" spans="1:13" s="3" customFormat="1" ht="13" x14ac:dyDescent="0.3">
      <c r="A10" s="298" t="s">
        <v>217</v>
      </c>
      <c r="B10" s="357">
        <f>SUM(B4:B9)</f>
        <v>13084.018780819901</v>
      </c>
      <c r="C10" s="86">
        <f t="shared" si="0"/>
        <v>100</v>
      </c>
      <c r="D10" s="42">
        <f>SUM(D4:D9)</f>
        <v>11106.10618686101</v>
      </c>
      <c r="E10" s="86">
        <f t="shared" si="1"/>
        <v>100</v>
      </c>
      <c r="F10" s="42">
        <f>SUM(F4:F9)</f>
        <v>11244.308151030071</v>
      </c>
      <c r="G10" s="87">
        <f>SUM(G4:G8)</f>
        <v>99.999583553124197</v>
      </c>
      <c r="H10" s="86">
        <f>((F10/D10)-1)*100</f>
        <v>1.2443781991978264</v>
      </c>
      <c r="I10" s="86">
        <f>((F10/B10)-1)*100</f>
        <v>-14.060745865686886</v>
      </c>
      <c r="J10" s="319"/>
      <c r="K10" s="1"/>
    </row>
    <row r="11" spans="1:13" x14ac:dyDescent="0.25">
      <c r="F11" s="8"/>
      <c r="G11" s="8"/>
      <c r="H11" s="8"/>
    </row>
    <row r="12" spans="1:13" x14ac:dyDescent="0.25">
      <c r="F12" s="8"/>
      <c r="G12" s="8"/>
      <c r="H12" s="8"/>
    </row>
    <row r="13" spans="1:13" x14ac:dyDescent="0.25">
      <c r="F13" s="8"/>
      <c r="G13" s="8"/>
      <c r="H13" s="8"/>
    </row>
    <row r="14" spans="1:13" x14ac:dyDescent="0.25">
      <c r="E14" s="8"/>
      <c r="F14" s="8"/>
      <c r="I14" s="4"/>
      <c r="J14" s="4"/>
      <c r="K14" s="4"/>
      <c r="L14" s="4"/>
      <c r="M14" s="4"/>
    </row>
    <row r="15" spans="1:13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3" x14ac:dyDescent="0.25">
      <c r="C16" s="4"/>
      <c r="D16" s="4"/>
      <c r="E16" s="4"/>
      <c r="F16" s="4"/>
      <c r="G16" s="4"/>
    </row>
    <row r="17" spans="1:8" x14ac:dyDescent="0.25">
      <c r="C17" s="4"/>
      <c r="D17" s="4"/>
      <c r="E17" s="4"/>
      <c r="F17" s="4"/>
      <c r="G17" s="4"/>
    </row>
    <row r="18" spans="1:8" x14ac:dyDescent="0.25">
      <c r="C18" s="4"/>
      <c r="D18" s="4"/>
      <c r="E18" s="4"/>
      <c r="F18" s="4"/>
      <c r="G18" s="4"/>
    </row>
    <row r="19" spans="1:8" x14ac:dyDescent="0.25">
      <c r="C19" s="4"/>
      <c r="D19" s="4"/>
      <c r="E19" s="4"/>
      <c r="F19" s="4"/>
      <c r="G19" s="4"/>
      <c r="H19" s="326"/>
    </row>
    <row r="20" spans="1:8" x14ac:dyDescent="0.25">
      <c r="C20" s="4"/>
      <c r="D20" s="4"/>
      <c r="E20" s="4"/>
      <c r="F20" s="4"/>
      <c r="G20" s="4"/>
    </row>
    <row r="21" spans="1:8" x14ac:dyDescent="0.25">
      <c r="B21" s="323"/>
      <c r="C21" s="4"/>
      <c r="D21" s="4"/>
      <c r="E21" s="4"/>
      <c r="F21" s="4"/>
      <c r="G21" s="4"/>
    </row>
    <row r="22" spans="1:8" x14ac:dyDescent="0.25">
      <c r="B22" s="9"/>
      <c r="E22" s="325"/>
      <c r="F22" s="325"/>
      <c r="G22" s="325"/>
    </row>
    <row r="23" spans="1:8" x14ac:dyDescent="0.25">
      <c r="A23" s="1"/>
      <c r="B23" s="1"/>
      <c r="C23" s="1"/>
      <c r="D23" s="1"/>
      <c r="E23" s="325"/>
      <c r="F23" s="325"/>
      <c r="G23" s="325"/>
    </row>
    <row r="24" spans="1:8" x14ac:dyDescent="0.25">
      <c r="A24" s="1"/>
      <c r="B24" s="67"/>
      <c r="C24" s="67"/>
      <c r="D24" s="67"/>
      <c r="E24" s="325"/>
      <c r="F24" s="325"/>
      <c r="G24" s="325"/>
    </row>
    <row r="25" spans="1:8" x14ac:dyDescent="0.25">
      <c r="A25" s="1"/>
      <c r="B25" s="67"/>
      <c r="C25" s="67"/>
      <c r="D25" s="67"/>
      <c r="E25" s="325"/>
      <c r="F25" s="325"/>
      <c r="G25" s="325"/>
    </row>
    <row r="26" spans="1:8" x14ac:dyDescent="0.25">
      <c r="A26" s="1"/>
      <c r="B26" s="67"/>
      <c r="C26" s="67"/>
      <c r="D26" s="67"/>
    </row>
    <row r="27" spans="1:8" x14ac:dyDescent="0.25">
      <c r="A27" s="1"/>
      <c r="B27" s="67"/>
      <c r="C27" s="67"/>
      <c r="D27" s="67"/>
    </row>
    <row r="28" spans="1:8" x14ac:dyDescent="0.25">
      <c r="A28" s="1"/>
      <c r="B28" s="67"/>
      <c r="C28" s="67"/>
      <c r="D28" s="67"/>
    </row>
    <row r="29" spans="1:8" x14ac:dyDescent="0.25">
      <c r="A29" s="1"/>
      <c r="B29" s="67"/>
      <c r="C29" s="67"/>
      <c r="D29" s="67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C16" sqref="C16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83" t="s">
        <v>715</v>
      </c>
      <c r="B1" s="583"/>
      <c r="C1" s="583"/>
      <c r="D1" s="583"/>
      <c r="G1" s="582" t="s">
        <v>239</v>
      </c>
      <c r="H1" s="582"/>
    </row>
    <row r="2" spans="1:8" ht="13" x14ac:dyDescent="0.3">
      <c r="A2" s="198" t="s">
        <v>220</v>
      </c>
      <c r="B2" s="197" t="s">
        <v>243</v>
      </c>
      <c r="C2" s="196" t="s">
        <v>219</v>
      </c>
      <c r="D2" s="195" t="s">
        <v>473</v>
      </c>
      <c r="E2" s="195" t="s">
        <v>472</v>
      </c>
      <c r="F2" s="194"/>
    </row>
    <row r="3" spans="1:8" x14ac:dyDescent="0.25">
      <c r="A3" s="36" t="s">
        <v>221</v>
      </c>
      <c r="B3" s="45">
        <v>10139.539847369997</v>
      </c>
      <c r="C3" s="45">
        <v>13084.018780820048</v>
      </c>
      <c r="D3" s="45">
        <f>B3</f>
        <v>10139.539847369997</v>
      </c>
      <c r="E3" s="45">
        <f>C3</f>
        <v>13084.018780820048</v>
      </c>
      <c r="F3" s="194"/>
      <c r="G3" s="34">
        <f>Table5[[#This Row],[Column2]]-Table5[[#This Row],[Column3]]</f>
        <v>-2944.478933450051</v>
      </c>
      <c r="H3" s="34"/>
    </row>
    <row r="4" spans="1:8" x14ac:dyDescent="0.25">
      <c r="A4" s="36" t="s">
        <v>222</v>
      </c>
      <c r="B4" s="46">
        <v>9681.6443227599993</v>
      </c>
      <c r="C4" s="46">
        <v>11756.301897049922</v>
      </c>
      <c r="D4" s="46">
        <f>SUM(B3:B4)</f>
        <v>19821.184170129996</v>
      </c>
      <c r="E4" s="46">
        <f>SUM(C3:C4)</f>
        <v>24840.320677869968</v>
      </c>
      <c r="F4" s="194"/>
      <c r="G4" s="34">
        <f>Table5[[#This Row],[Column2]]-Table5[[#This Row],[Column3]]</f>
        <v>-2074.6575742899222</v>
      </c>
      <c r="H4" s="34"/>
    </row>
    <row r="5" spans="1:8" x14ac:dyDescent="0.25">
      <c r="A5" s="36" t="s">
        <v>223</v>
      </c>
      <c r="B5" s="46">
        <v>10086.950392259998</v>
      </c>
      <c r="C5" s="46">
        <v>12394.523416063024</v>
      </c>
      <c r="D5" s="46">
        <f>SUM(B3:B5)</f>
        <v>29908.134562389994</v>
      </c>
      <c r="E5" s="46">
        <f>SUM(C3:C5)</f>
        <v>37234.844093932988</v>
      </c>
      <c r="F5" s="194"/>
      <c r="G5" s="34">
        <f>Table5[[#This Row],[Column2]]-Table5[[#This Row],[Column3]]</f>
        <v>-2307.5730238030264</v>
      </c>
      <c r="H5" s="34"/>
    </row>
    <row r="6" spans="1:8" x14ac:dyDescent="0.25">
      <c r="A6" s="36" t="s">
        <v>224</v>
      </c>
      <c r="B6" s="46">
        <v>10571.030594490001</v>
      </c>
      <c r="C6" s="46">
        <v>12708.824177229904</v>
      </c>
      <c r="D6" s="46">
        <f>SUM(B3:B6)</f>
        <v>40479.165156879993</v>
      </c>
      <c r="E6" s="46">
        <f>SUM(C3:C6)</f>
        <v>49943.668271162896</v>
      </c>
      <c r="F6" s="194"/>
      <c r="G6" s="34">
        <f>Table5[[#This Row],[Column2]]-Table5[[#This Row],[Column3]]</f>
        <v>-2137.7935827399033</v>
      </c>
      <c r="H6" s="34"/>
    </row>
    <row r="7" spans="1:8" x14ac:dyDescent="0.25">
      <c r="A7" s="36" t="s">
        <v>225</v>
      </c>
      <c r="B7" s="46">
        <v>11650.02078841</v>
      </c>
      <c r="C7" s="46">
        <v>11535.876499581556</v>
      </c>
      <c r="D7" s="46">
        <f>SUM(B3:B7)</f>
        <v>52129.185945289995</v>
      </c>
      <c r="E7" s="46">
        <f>SUM(C3:C7)</f>
        <v>61479.544770744455</v>
      </c>
      <c r="F7" s="194"/>
      <c r="G7" s="34">
        <f>Table5[[#This Row],[Column2]]-Table5[[#This Row],[Column3]]</f>
        <v>114.14428882844368</v>
      </c>
      <c r="H7" s="34"/>
    </row>
    <row r="8" spans="1:8" x14ac:dyDescent="0.25">
      <c r="A8" s="36" t="s">
        <v>226</v>
      </c>
      <c r="B8" s="46">
        <v>11970.795074380012</v>
      </c>
      <c r="C8" s="46">
        <v>11301.789275339996</v>
      </c>
      <c r="D8" s="46">
        <f>SUM(B3:B8)</f>
        <v>64099.981019670005</v>
      </c>
      <c r="E8" s="46">
        <f>SUM(C3:C8)</f>
        <v>72781.334046084448</v>
      </c>
      <c r="F8" s="194"/>
      <c r="G8" s="34">
        <f>Table5[[#This Row],[Column2]]-Table5[[#This Row],[Column3]]</f>
        <v>669.00579904001643</v>
      </c>
      <c r="H8" s="34"/>
    </row>
    <row r="9" spans="1:8" x14ac:dyDescent="0.25">
      <c r="A9" s="36" t="s">
        <v>227</v>
      </c>
      <c r="B9" s="46">
        <v>12589.186209970001</v>
      </c>
      <c r="C9" s="46">
        <v>12569.799254869855</v>
      </c>
      <c r="D9" s="46">
        <f>SUM(B3:B9)</f>
        <v>76689.167229640007</v>
      </c>
      <c r="E9" s="46">
        <f>SUM(C3:C9)</f>
        <v>85351.133300954301</v>
      </c>
      <c r="F9" s="194"/>
      <c r="G9" s="34">
        <f>Table5[[#This Row],[Column2]]-Table5[[#This Row],[Column3]]</f>
        <v>19.386955100146224</v>
      </c>
      <c r="H9" s="34"/>
    </row>
    <row r="10" spans="1:8" x14ac:dyDescent="0.25">
      <c r="A10" s="36" t="s">
        <v>228</v>
      </c>
      <c r="B10" s="46">
        <v>7662.4064959200005</v>
      </c>
      <c r="C10" s="46">
        <v>12938.729886240913</v>
      </c>
      <c r="D10" s="46">
        <f>SUM(B3:B10)</f>
        <v>84351.573725560011</v>
      </c>
      <c r="E10" s="46">
        <f>SUM(C3:C10)</f>
        <v>98289.863187195209</v>
      </c>
      <c r="F10" s="194"/>
      <c r="G10" s="34">
        <f>Table5[[#This Row],[Column2]]-Table5[[#This Row],[Column3]]</f>
        <v>-5276.3233903209129</v>
      </c>
      <c r="H10" s="34"/>
    </row>
    <row r="11" spans="1:8" x14ac:dyDescent="0.25">
      <c r="A11" s="36" t="s">
        <v>229</v>
      </c>
      <c r="B11" s="46">
        <v>7428.1780786300023</v>
      </c>
      <c r="C11" s="46">
        <v>10843.216321500089</v>
      </c>
      <c r="D11" s="46">
        <f>SUM(B3:B11)</f>
        <v>91779.751804190018</v>
      </c>
      <c r="E11" s="46">
        <f>SUM(C3:C11)</f>
        <v>109133.0795086953</v>
      </c>
      <c r="F11" s="194"/>
      <c r="G11" s="34">
        <f>Table5[[#This Row],[Column2]]-Table5[[#This Row],[Column3]]</f>
        <v>-3415.0382428700868</v>
      </c>
      <c r="H11" s="34"/>
    </row>
    <row r="12" spans="1:8" x14ac:dyDescent="0.25">
      <c r="A12" s="36" t="s">
        <v>230</v>
      </c>
      <c r="B12" s="46">
        <v>13185.741353920012</v>
      </c>
      <c r="C12" s="46">
        <v>15726.346016270116</v>
      </c>
      <c r="D12" s="46">
        <f>SUM(B3:B12)</f>
        <v>104965.49315811002</v>
      </c>
      <c r="E12" s="46">
        <f>SUM(C3:C12)</f>
        <v>124859.42552496542</v>
      </c>
      <c r="F12" s="194"/>
      <c r="G12" s="34">
        <f>Table5[[#This Row],[Column2]]-Table5[[#This Row],[Column3]]</f>
        <v>-2540.6046623501043</v>
      </c>
      <c r="H12" s="34"/>
    </row>
    <row r="13" spans="1:8" x14ac:dyDescent="0.25">
      <c r="A13" s="36" t="s">
        <v>231</v>
      </c>
      <c r="B13" s="46">
        <v>9967.5657362599886</v>
      </c>
      <c r="C13" s="46">
        <v>14411.664441810044</v>
      </c>
      <c r="D13" s="46">
        <f>SUM(B3:B13)</f>
        <v>114933.05889437001</v>
      </c>
      <c r="E13" s="46">
        <f>SUM(C3:C13)</f>
        <v>139271.08996677547</v>
      </c>
      <c r="G13" s="34">
        <f>Table5[[#This Row],[Column2]]-Table5[[#This Row],[Column3]]</f>
        <v>-4444.0987055500555</v>
      </c>
      <c r="H13" s="34"/>
    </row>
    <row r="14" spans="1:8" x14ac:dyDescent="0.25">
      <c r="A14" s="36" t="s">
        <v>232</v>
      </c>
      <c r="B14" s="47">
        <v>10715.369058170008</v>
      </c>
      <c r="C14" s="47">
        <v>11106.106186861121</v>
      </c>
      <c r="D14" s="47">
        <f>SUM(B3:B14)</f>
        <v>125648.42795254002</v>
      </c>
      <c r="E14" s="47">
        <f>SUM(C3:C14)</f>
        <v>150377.19615363659</v>
      </c>
      <c r="G14" s="34">
        <f>Table5[[#This Row],[Column2]]-Table5[[#This Row],[Column3]]</f>
        <v>-390.73712869111296</v>
      </c>
      <c r="H14" s="34"/>
    </row>
    <row r="16" spans="1:8" x14ac:dyDescent="0.25">
      <c r="B16" s="193"/>
      <c r="C16" s="193"/>
    </row>
    <row r="17" spans="2:5" x14ac:dyDescent="0.25">
      <c r="B17" s="38"/>
      <c r="C17" s="38"/>
    </row>
    <row r="22" spans="2:5" x14ac:dyDescent="0.25">
      <c r="B22" s="192"/>
      <c r="C22" s="192"/>
      <c r="D22" s="34"/>
      <c r="E22" s="34"/>
    </row>
    <row r="23" spans="2:5" x14ac:dyDescent="0.25">
      <c r="B23" s="192"/>
      <c r="C23" s="192"/>
      <c r="D23" s="34"/>
      <c r="E23" s="34"/>
    </row>
    <row r="24" spans="2:5" x14ac:dyDescent="0.25">
      <c r="B24" s="192"/>
      <c r="C24" s="192"/>
      <c r="D24" s="34"/>
      <c r="E24" s="34"/>
    </row>
    <row r="25" spans="2:5" x14ac:dyDescent="0.25">
      <c r="B25" s="192"/>
      <c r="C25" s="192"/>
      <c r="D25" s="34"/>
      <c r="E25" s="34"/>
    </row>
    <row r="26" spans="2:5" x14ac:dyDescent="0.25">
      <c r="B26" s="192"/>
      <c r="C26" s="192"/>
      <c r="D26" s="34"/>
      <c r="E26" s="34"/>
    </row>
    <row r="27" spans="2:5" x14ac:dyDescent="0.25">
      <c r="B27" s="192"/>
      <c r="C27" s="192"/>
      <c r="D27" s="34"/>
      <c r="E27" s="34"/>
    </row>
    <row r="28" spans="2:5" x14ac:dyDescent="0.25">
      <c r="B28" s="192"/>
      <c r="C28" s="192"/>
      <c r="D28" s="34"/>
      <c r="E28" s="34"/>
    </row>
    <row r="29" spans="2:5" x14ac:dyDescent="0.25">
      <c r="B29" s="192"/>
      <c r="C29" s="192"/>
      <c r="D29" s="34"/>
      <c r="E29" s="34"/>
    </row>
    <row r="30" spans="2:5" x14ac:dyDescent="0.25">
      <c r="B30" s="192"/>
      <c r="C30" s="192"/>
      <c r="D30" s="34"/>
      <c r="E30" s="34"/>
    </row>
    <row r="31" spans="2:5" x14ac:dyDescent="0.25">
      <c r="B31" s="192"/>
      <c r="C31" s="192"/>
      <c r="D31" s="34"/>
      <c r="E31" s="34"/>
    </row>
    <row r="32" spans="2:5" x14ac:dyDescent="0.25">
      <c r="B32" s="192"/>
      <c r="C32" s="192"/>
      <c r="D32" s="34"/>
      <c r="E32" s="34"/>
    </row>
    <row r="33" spans="2:5" x14ac:dyDescent="0.25">
      <c r="B33" s="192"/>
      <c r="C33" s="192"/>
      <c r="D33" s="34"/>
      <c r="E33" s="34"/>
    </row>
  </sheetData>
  <mergeCells count="2">
    <mergeCell ref="G1:H1"/>
    <mergeCell ref="A1:D1"/>
  </mergeCells>
  <hyperlinks>
    <hyperlink ref="G1:H1" location="'Table of Content'!A1" display="Table of Content" xr:uid="{E7DEBDDC-996A-42E4-827F-657288E5F2C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AJ264"/>
  <sheetViews>
    <sheetView zoomScaleNormal="100" workbookViewId="0">
      <selection activeCell="E5" sqref="E5"/>
    </sheetView>
  </sheetViews>
  <sheetFormatPr defaultColWidth="8.81640625" defaultRowHeight="14.5" x14ac:dyDescent="0.35"/>
  <cols>
    <col min="1" max="1" width="21.6328125" style="20" customWidth="1"/>
    <col min="2" max="4" width="8.81640625" style="20"/>
    <col min="5" max="5" width="8.81640625" style="658"/>
    <col min="6" max="6" width="18" style="20" customWidth="1"/>
    <col min="7" max="9" width="9.1796875" style="20" bestFit="1" customWidth="1"/>
    <col min="10" max="10" width="8.81640625" style="20"/>
    <col min="11" max="11" width="15.6328125" style="20" customWidth="1"/>
    <col min="12" max="14" width="8.81640625" style="20"/>
    <col min="15" max="15" width="8.81640625" style="20" customWidth="1"/>
    <col min="16" max="19" width="8.81640625" style="20"/>
    <col min="20" max="21" width="8.90625" style="20" bestFit="1" customWidth="1"/>
    <col min="22" max="22" width="8.90625" style="20" customWidth="1"/>
    <col min="23" max="23" width="8.81640625" style="20"/>
    <col min="24" max="24" width="9.1796875" style="20" bestFit="1" customWidth="1"/>
    <col min="25" max="25" width="9.1796875" style="20" customWidth="1"/>
    <col min="26" max="26" width="8.90625" style="20" bestFit="1" customWidth="1"/>
    <col min="27" max="28" width="9.1796875" style="20" bestFit="1" customWidth="1"/>
    <col min="29" max="29" width="9.1796875" style="20" customWidth="1"/>
    <col min="31" max="31" width="8.90625" style="20" bestFit="1" customWidth="1"/>
    <col min="32" max="32" width="8.81640625" style="20"/>
    <col min="33" max="35" width="8.90625" style="20" bestFit="1" customWidth="1"/>
    <col min="36" max="16384" width="8.81640625" style="20"/>
  </cols>
  <sheetData>
    <row r="1" spans="1:36" x14ac:dyDescent="0.35">
      <c r="A1" s="37" t="s">
        <v>402</v>
      </c>
      <c r="B1" s="37"/>
      <c r="C1" s="37"/>
      <c r="D1" s="37"/>
      <c r="E1" s="657"/>
      <c r="J1" s="92"/>
      <c r="P1" s="49" t="s">
        <v>239</v>
      </c>
    </row>
    <row r="2" spans="1:36" x14ac:dyDescent="0.35">
      <c r="A2" s="641" t="s">
        <v>388</v>
      </c>
      <c r="B2" s="642"/>
      <c r="C2" s="642"/>
      <c r="D2" s="643"/>
      <c r="F2" s="636" t="s">
        <v>389</v>
      </c>
      <c r="G2" s="640"/>
      <c r="H2" s="640"/>
      <c r="I2" s="637"/>
      <c r="J2" s="92"/>
      <c r="K2" s="636" t="s">
        <v>387</v>
      </c>
      <c r="L2" s="640"/>
      <c r="M2" s="640"/>
      <c r="N2" s="637"/>
      <c r="V2" s="18"/>
      <c r="W2" s="18"/>
      <c r="X2" s="18"/>
      <c r="Y2" s="18"/>
      <c r="AA2" s="18"/>
      <c r="AB2" s="18"/>
      <c r="AC2" s="18"/>
      <c r="AF2" s="18"/>
      <c r="AG2" s="18"/>
      <c r="AH2" s="18"/>
    </row>
    <row r="3" spans="1:36" ht="14.5" customHeight="1" x14ac:dyDescent="0.35">
      <c r="A3" s="26" t="s">
        <v>394</v>
      </c>
      <c r="B3" s="636">
        <v>2025</v>
      </c>
      <c r="C3" s="637"/>
      <c r="D3" s="428">
        <v>2026</v>
      </c>
      <c r="F3" s="26" t="s">
        <v>394</v>
      </c>
      <c r="G3" s="636">
        <v>2025</v>
      </c>
      <c r="H3" s="637"/>
      <c r="I3" s="428">
        <v>2026</v>
      </c>
      <c r="J3" s="92"/>
      <c r="K3" s="26" t="s">
        <v>394</v>
      </c>
      <c r="L3" s="636">
        <v>2025</v>
      </c>
      <c r="M3" s="637"/>
      <c r="N3" s="428">
        <v>2026</v>
      </c>
      <c r="V3" s="18"/>
      <c r="W3" s="18"/>
      <c r="X3" s="18"/>
      <c r="Y3" s="18"/>
      <c r="AA3" s="18"/>
      <c r="AB3" s="18"/>
      <c r="AC3" s="18"/>
      <c r="AF3" s="18"/>
      <c r="AG3" s="18"/>
      <c r="AH3" s="18"/>
    </row>
    <row r="4" spans="1:36" ht="14.5" customHeight="1" x14ac:dyDescent="0.3">
      <c r="A4" s="94" t="s">
        <v>220</v>
      </c>
      <c r="B4" s="93">
        <v>45658</v>
      </c>
      <c r="C4" s="93">
        <v>45992</v>
      </c>
      <c r="D4" s="93">
        <v>46023</v>
      </c>
      <c r="E4" s="659"/>
      <c r="F4" s="94" t="s">
        <v>220</v>
      </c>
      <c r="G4" s="93">
        <v>45658</v>
      </c>
      <c r="H4" s="93">
        <v>45992</v>
      </c>
      <c r="I4" s="93">
        <v>46023</v>
      </c>
      <c r="J4" s="95"/>
      <c r="K4" s="94" t="s">
        <v>220</v>
      </c>
      <c r="L4" s="93">
        <v>45658</v>
      </c>
      <c r="M4" s="93">
        <v>45992</v>
      </c>
      <c r="N4" s="93">
        <v>46023</v>
      </c>
      <c r="P4" s="11"/>
      <c r="Q4" s="11"/>
      <c r="T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315"/>
    </row>
    <row r="5" spans="1:36" x14ac:dyDescent="0.35">
      <c r="A5" s="56" t="s">
        <v>52</v>
      </c>
      <c r="B5" s="45">
        <v>107.80102515999999</v>
      </c>
      <c r="C5" s="45">
        <v>553.47503275999998</v>
      </c>
      <c r="D5" s="45">
        <v>799.58597953999993</v>
      </c>
      <c r="E5" s="175"/>
      <c r="F5" s="45" t="s">
        <v>62</v>
      </c>
      <c r="G5" s="45">
        <v>1525.0689786600001</v>
      </c>
      <c r="H5" s="45">
        <v>1442.8297863299999</v>
      </c>
      <c r="I5" s="45">
        <v>1839.2641098800002</v>
      </c>
      <c r="J5" s="45"/>
      <c r="K5" s="45" t="s">
        <v>121</v>
      </c>
      <c r="L5" s="45">
        <v>1.0055680899999999</v>
      </c>
      <c r="M5" s="45">
        <v>69.600590080000003</v>
      </c>
      <c r="N5" s="45">
        <v>176.17057336000002</v>
      </c>
      <c r="V5" s="18"/>
      <c r="W5" s="18"/>
      <c r="X5" s="18"/>
      <c r="Y5" s="18"/>
      <c r="AA5" s="18"/>
      <c r="AB5" s="18"/>
      <c r="AC5" s="18"/>
      <c r="AF5" s="18"/>
      <c r="AG5" s="18"/>
      <c r="AH5" s="18"/>
    </row>
    <row r="6" spans="1:36" x14ac:dyDescent="0.35">
      <c r="A6" s="21" t="s">
        <v>355</v>
      </c>
      <c r="B6" s="46">
        <v>229.36506883000001</v>
      </c>
      <c r="C6" s="46">
        <v>246.79814098</v>
      </c>
      <c r="D6" s="46">
        <v>244.94372666999999</v>
      </c>
      <c r="E6" s="174"/>
      <c r="F6" s="46" t="s">
        <v>139</v>
      </c>
      <c r="G6" s="46">
        <v>1.423146E-2</v>
      </c>
      <c r="H6" s="46">
        <v>47.58571293</v>
      </c>
      <c r="I6" s="46">
        <v>337.90936409</v>
      </c>
      <c r="J6" s="46"/>
      <c r="K6" s="46" t="s">
        <v>166</v>
      </c>
      <c r="L6" s="46">
        <v>22.06114277</v>
      </c>
      <c r="M6" s="46">
        <v>33.44913451</v>
      </c>
      <c r="N6" s="46">
        <v>37.082553270000005</v>
      </c>
      <c r="V6" s="18"/>
      <c r="W6" s="18"/>
      <c r="X6" s="18"/>
      <c r="Y6" s="18"/>
      <c r="AA6" s="18"/>
      <c r="AB6" s="18"/>
      <c r="AC6" s="18"/>
      <c r="AF6" s="18"/>
      <c r="AG6" s="18"/>
      <c r="AH6" s="18"/>
    </row>
    <row r="7" spans="1:36" x14ac:dyDescent="0.35">
      <c r="A7" s="21" t="s">
        <v>30</v>
      </c>
      <c r="B7" s="46">
        <v>152.09350662</v>
      </c>
      <c r="C7" s="46">
        <v>208.22933956000099</v>
      </c>
      <c r="D7" s="46">
        <v>228.57970843000001</v>
      </c>
      <c r="E7" s="174"/>
      <c r="F7" s="46" t="s">
        <v>179</v>
      </c>
      <c r="G7" s="46">
        <v>202.97500126</v>
      </c>
      <c r="H7" s="46">
        <v>501.08111319</v>
      </c>
      <c r="I7" s="46">
        <v>155.34889046999999</v>
      </c>
      <c r="J7" s="46"/>
      <c r="K7" s="46" t="s">
        <v>171</v>
      </c>
      <c r="L7" s="46">
        <v>58.102967450000001</v>
      </c>
      <c r="M7" s="46">
        <v>92.590179500000005</v>
      </c>
      <c r="N7" s="46">
        <v>25.610386350000002</v>
      </c>
      <c r="V7" s="18"/>
      <c r="W7" s="18"/>
      <c r="X7" s="18"/>
      <c r="Y7" s="18"/>
      <c r="AA7" s="18"/>
      <c r="AB7" s="18"/>
      <c r="AC7" s="18"/>
      <c r="AF7" s="18"/>
      <c r="AG7" s="18"/>
      <c r="AH7" s="18"/>
    </row>
    <row r="8" spans="1:36" x14ac:dyDescent="0.35">
      <c r="A8" s="21" t="s">
        <v>54</v>
      </c>
      <c r="B8" s="46">
        <v>275.44162464999999</v>
      </c>
      <c r="C8" s="46">
        <v>220.21218934000001</v>
      </c>
      <c r="D8" s="46">
        <v>217.07189999000002</v>
      </c>
      <c r="E8" s="174"/>
      <c r="F8" s="46" t="s">
        <v>46</v>
      </c>
      <c r="G8" s="46">
        <v>11.580262789999999</v>
      </c>
      <c r="H8" s="46">
        <v>0</v>
      </c>
      <c r="I8" s="46">
        <v>147.81251180000001</v>
      </c>
      <c r="J8" s="46"/>
      <c r="K8" s="46" t="s">
        <v>202</v>
      </c>
      <c r="L8" s="46">
        <v>22.34673308</v>
      </c>
      <c r="M8" s="46">
        <v>27.346822289999999</v>
      </c>
      <c r="N8" s="46">
        <v>20.748455719999999</v>
      </c>
      <c r="V8" s="18"/>
      <c r="W8" s="18"/>
      <c r="X8" s="18"/>
      <c r="Y8" s="18"/>
      <c r="AA8" s="18"/>
      <c r="AB8" s="18"/>
      <c r="AC8" s="18"/>
      <c r="AF8" s="18"/>
      <c r="AG8" s="18"/>
      <c r="AH8" s="18"/>
    </row>
    <row r="9" spans="1:36" x14ac:dyDescent="0.35">
      <c r="A9" s="21" t="s">
        <v>179</v>
      </c>
      <c r="B9" s="46">
        <v>250.89038633999999</v>
      </c>
      <c r="C9" s="46">
        <v>300.54644367999998</v>
      </c>
      <c r="D9" s="46">
        <v>215.31684237000002</v>
      </c>
      <c r="E9" s="174"/>
      <c r="F9" s="46" t="s">
        <v>146</v>
      </c>
      <c r="G9" s="46">
        <v>284.74247380000003</v>
      </c>
      <c r="H9" s="46">
        <v>122.23411337</v>
      </c>
      <c r="I9" s="46">
        <v>138.25872798</v>
      </c>
      <c r="J9" s="46"/>
      <c r="K9" s="46" t="s">
        <v>204</v>
      </c>
      <c r="L9" s="46">
        <v>5.1936819100000005</v>
      </c>
      <c r="M9" s="46">
        <v>3.7076746699999998</v>
      </c>
      <c r="N9" s="46">
        <v>14.073273589999999</v>
      </c>
      <c r="V9" s="18"/>
      <c r="W9" s="18"/>
      <c r="X9" s="18"/>
      <c r="Y9" s="18"/>
      <c r="AA9" s="18"/>
      <c r="AB9" s="18"/>
      <c r="AC9" s="18"/>
      <c r="AF9" s="18"/>
      <c r="AG9" s="18"/>
      <c r="AH9" s="18"/>
    </row>
    <row r="10" spans="1:36" x14ac:dyDescent="0.35">
      <c r="A10" s="21" t="s">
        <v>81</v>
      </c>
      <c r="B10" s="46">
        <v>147.4754221</v>
      </c>
      <c r="C10" s="46">
        <v>142.66356924999999</v>
      </c>
      <c r="D10" s="46">
        <v>147.15792246000001</v>
      </c>
      <c r="E10" s="174"/>
      <c r="F10" s="46" t="s">
        <v>158</v>
      </c>
      <c r="G10" s="46">
        <v>24.670125370000001</v>
      </c>
      <c r="H10" s="46">
        <v>9.9782465399999989</v>
      </c>
      <c r="I10" s="46">
        <v>117.82554106000001</v>
      </c>
      <c r="J10" s="46"/>
      <c r="K10" s="46" t="s">
        <v>141</v>
      </c>
      <c r="L10" s="46">
        <v>6.3777705500000001</v>
      </c>
      <c r="M10" s="46">
        <v>1.7444800000000001E-3</v>
      </c>
      <c r="N10" s="46">
        <v>10.443905119999998</v>
      </c>
      <c r="V10" s="18"/>
      <c r="W10" s="18"/>
      <c r="X10" s="18"/>
      <c r="Y10" s="18"/>
      <c r="AA10" s="18"/>
      <c r="AB10" s="18"/>
      <c r="AC10" s="18"/>
      <c r="AF10" s="18"/>
      <c r="AG10" s="18"/>
      <c r="AH10" s="18"/>
    </row>
    <row r="11" spans="1:36" x14ac:dyDescent="0.35">
      <c r="A11" s="21" t="s">
        <v>80</v>
      </c>
      <c r="B11" s="46">
        <v>55.57094549</v>
      </c>
      <c r="C11" s="46">
        <v>67.964815799999897</v>
      </c>
      <c r="D11" s="46">
        <v>122.97283556000001</v>
      </c>
      <c r="E11" s="174"/>
      <c r="F11" s="46" t="s">
        <v>85</v>
      </c>
      <c r="G11" s="46">
        <v>157.64458783000001</v>
      </c>
      <c r="H11" s="46">
        <v>46.124591409999994</v>
      </c>
      <c r="I11" s="46">
        <v>99.010421980000004</v>
      </c>
      <c r="J11" s="46"/>
      <c r="K11" s="46" t="s">
        <v>172</v>
      </c>
      <c r="L11" s="46">
        <v>2.2634394500000004</v>
      </c>
      <c r="M11" s="46">
        <v>3.15234887</v>
      </c>
      <c r="N11" s="46">
        <v>9.5963681400000009</v>
      </c>
      <c r="V11" s="18"/>
      <c r="W11" s="18"/>
      <c r="X11" s="18"/>
      <c r="Y11" s="18"/>
      <c r="AA11" s="18"/>
      <c r="AB11" s="18"/>
      <c r="AC11" s="18"/>
      <c r="AF11" s="18"/>
      <c r="AG11" s="18"/>
      <c r="AH11" s="18"/>
    </row>
    <row r="12" spans="1:36" x14ac:dyDescent="0.35">
      <c r="A12" s="21" t="s">
        <v>83</v>
      </c>
      <c r="B12" s="46">
        <v>118.36771213999999</v>
      </c>
      <c r="C12" s="46">
        <v>148.14096125</v>
      </c>
      <c r="D12" s="46">
        <v>122.44415837000001</v>
      </c>
      <c r="E12" s="174"/>
      <c r="F12" s="46" t="s">
        <v>101</v>
      </c>
      <c r="G12" s="46">
        <v>119.66950804000001</v>
      </c>
      <c r="H12" s="46">
        <v>134.16766188</v>
      </c>
      <c r="I12" s="46">
        <v>89.943689700000007</v>
      </c>
      <c r="J12" s="46"/>
      <c r="K12" s="46" t="s">
        <v>200</v>
      </c>
      <c r="L12" s="46">
        <v>10.22857834</v>
      </c>
      <c r="M12" s="46">
        <v>13.06981115</v>
      </c>
      <c r="N12" s="46">
        <v>9.3935012799999988</v>
      </c>
      <c r="V12" s="18"/>
      <c r="W12" s="18"/>
      <c r="X12" s="18"/>
      <c r="Y12" s="18"/>
      <c r="AA12" s="18"/>
      <c r="AB12" s="18"/>
      <c r="AC12" s="18"/>
      <c r="AF12" s="18"/>
      <c r="AG12" s="18"/>
      <c r="AH12" s="18"/>
    </row>
    <row r="13" spans="1:36" x14ac:dyDescent="0.35">
      <c r="A13" s="21" t="s">
        <v>171</v>
      </c>
      <c r="B13" s="46">
        <v>105.79140129000001</v>
      </c>
      <c r="C13" s="46">
        <v>143.23730359000001</v>
      </c>
      <c r="D13" s="46">
        <v>116.27034105</v>
      </c>
      <c r="E13" s="174"/>
      <c r="F13" s="46" t="s">
        <v>178</v>
      </c>
      <c r="G13" s="46">
        <v>28.86827929</v>
      </c>
      <c r="H13" s="46">
        <v>75.064330420000005</v>
      </c>
      <c r="I13" s="46">
        <v>84.919955090000002</v>
      </c>
      <c r="J13" s="46"/>
      <c r="K13" s="46" t="s">
        <v>81</v>
      </c>
      <c r="L13" s="46">
        <v>37.398572389999998</v>
      </c>
      <c r="M13" s="46">
        <v>11.054447010000001</v>
      </c>
      <c r="N13" s="46">
        <v>7.4785247699999999</v>
      </c>
      <c r="V13" s="18"/>
      <c r="W13" s="18"/>
      <c r="X13" s="18"/>
      <c r="Y13" s="18"/>
      <c r="AA13" s="18"/>
      <c r="AB13" s="18"/>
      <c r="AC13" s="18"/>
      <c r="AF13" s="18"/>
      <c r="AG13" s="18"/>
      <c r="AH13" s="18"/>
    </row>
    <row r="14" spans="1:36" x14ac:dyDescent="0.35">
      <c r="A14" s="21" t="s">
        <v>180</v>
      </c>
      <c r="B14" s="46">
        <v>117.38435593999999</v>
      </c>
      <c r="C14" s="46">
        <v>105.755669</v>
      </c>
      <c r="D14" s="46">
        <v>106.60218458</v>
      </c>
      <c r="E14" s="174"/>
      <c r="F14" s="46" t="s">
        <v>177</v>
      </c>
      <c r="G14" s="46">
        <v>63.677312729999997</v>
      </c>
      <c r="H14" s="46">
        <v>161.57659774999999</v>
      </c>
      <c r="I14" s="46">
        <v>82.009893879999993</v>
      </c>
      <c r="J14" s="46"/>
      <c r="K14" s="46" t="s">
        <v>214</v>
      </c>
      <c r="L14" s="46">
        <v>6.63916884</v>
      </c>
      <c r="M14" s="46">
        <v>6.6163070600000102</v>
      </c>
      <c r="N14" s="46">
        <v>6.8047868300000003</v>
      </c>
      <c r="V14" s="18"/>
      <c r="W14" s="18"/>
      <c r="X14" s="18"/>
      <c r="Y14" s="18"/>
      <c r="AA14" s="18"/>
      <c r="AB14" s="18"/>
      <c r="AC14" s="18"/>
      <c r="AF14" s="18"/>
      <c r="AG14" s="18"/>
      <c r="AH14" s="18"/>
    </row>
    <row r="15" spans="1:36" x14ac:dyDescent="0.35">
      <c r="A15" s="21" t="s">
        <v>28</v>
      </c>
      <c r="B15" s="46">
        <v>94.975110730000594</v>
      </c>
      <c r="C15" s="46">
        <v>128.44484796</v>
      </c>
      <c r="D15" s="46">
        <v>99.983888159999907</v>
      </c>
      <c r="E15" s="174"/>
      <c r="F15" s="46" t="s">
        <v>96</v>
      </c>
      <c r="G15" s="46">
        <v>56.710194259999994</v>
      </c>
      <c r="H15" s="46">
        <v>102.82304076000001</v>
      </c>
      <c r="I15" s="46">
        <v>77.165634299999994</v>
      </c>
      <c r="J15" s="46"/>
      <c r="K15" s="46" t="s">
        <v>191</v>
      </c>
      <c r="L15" s="46">
        <v>0.46835847999999997</v>
      </c>
      <c r="M15" s="46">
        <v>0.22531901000000001</v>
      </c>
      <c r="N15" s="46">
        <v>6.0799936900000002</v>
      </c>
      <c r="V15" s="18"/>
      <c r="W15" s="18"/>
      <c r="X15" s="18"/>
      <c r="Y15" s="18"/>
      <c r="AA15" s="18"/>
      <c r="AB15" s="18"/>
      <c r="AC15" s="18"/>
      <c r="AF15" s="18"/>
      <c r="AG15" s="18"/>
      <c r="AH15" s="18"/>
    </row>
    <row r="16" spans="1:36" x14ac:dyDescent="0.35">
      <c r="A16" s="21" t="s">
        <v>146</v>
      </c>
      <c r="B16" s="46">
        <v>75.15336898000001</v>
      </c>
      <c r="C16" s="46">
        <v>162.663881</v>
      </c>
      <c r="D16" s="46">
        <v>98.918406189999999</v>
      </c>
      <c r="E16" s="174"/>
      <c r="F16" s="46" t="s">
        <v>63</v>
      </c>
      <c r="G16" s="46">
        <v>4.9700000000000005E-4</v>
      </c>
      <c r="H16" s="46">
        <v>3.4909212699999999</v>
      </c>
      <c r="I16" s="46">
        <v>70.60523499</v>
      </c>
      <c r="J16" s="46"/>
      <c r="K16" s="46" t="s">
        <v>163</v>
      </c>
      <c r="L16" s="46">
        <v>5.20117574</v>
      </c>
      <c r="M16" s="46">
        <v>6.4219559000000093</v>
      </c>
      <c r="N16" s="46">
        <v>5.7057864900000004</v>
      </c>
      <c r="V16" s="18"/>
      <c r="W16" s="18"/>
      <c r="X16" s="18"/>
      <c r="Y16" s="18"/>
      <c r="AA16" s="18"/>
      <c r="AB16" s="18"/>
      <c r="AC16" s="18"/>
      <c r="AF16" s="18"/>
      <c r="AG16" s="18"/>
      <c r="AH16" s="18"/>
    </row>
    <row r="17" spans="1:34" x14ac:dyDescent="0.35">
      <c r="A17" s="21" t="s">
        <v>12</v>
      </c>
      <c r="B17" s="46">
        <v>135.71471031000002</v>
      </c>
      <c r="C17" s="46">
        <v>87.328099319999993</v>
      </c>
      <c r="D17" s="46">
        <v>96.86740918000001</v>
      </c>
      <c r="E17" s="174"/>
      <c r="F17" s="46" t="s">
        <v>355</v>
      </c>
      <c r="G17" s="46">
        <v>26.797434719999998</v>
      </c>
      <c r="H17" s="46">
        <v>22.614227469999999</v>
      </c>
      <c r="I17" s="46">
        <v>69.315476569999987</v>
      </c>
      <c r="J17" s="46"/>
      <c r="K17" s="46" t="s">
        <v>173</v>
      </c>
      <c r="L17" s="46">
        <v>4.87658682</v>
      </c>
      <c r="M17" s="46">
        <v>4.8507882000000002</v>
      </c>
      <c r="N17" s="46">
        <v>5.6528157099999996</v>
      </c>
      <c r="V17" s="18"/>
      <c r="W17" s="18"/>
      <c r="X17" s="18"/>
      <c r="Y17" s="18"/>
      <c r="AA17" s="18"/>
      <c r="AB17" s="18"/>
      <c r="AC17" s="18"/>
      <c r="AF17" s="18"/>
      <c r="AG17" s="18"/>
      <c r="AH17" s="18"/>
    </row>
    <row r="18" spans="1:34" x14ac:dyDescent="0.35">
      <c r="A18" s="21" t="s">
        <v>208</v>
      </c>
      <c r="B18" s="46">
        <v>112.61900874</v>
      </c>
      <c r="C18" s="46">
        <v>128.02779045000099</v>
      </c>
      <c r="D18" s="46">
        <v>88.01199863000069</v>
      </c>
      <c r="E18" s="174"/>
      <c r="F18" s="46" t="s">
        <v>2</v>
      </c>
      <c r="G18" s="46">
        <v>55.251915390000001</v>
      </c>
      <c r="H18" s="46">
        <v>60.477526130000001</v>
      </c>
      <c r="I18" s="46">
        <v>66.491762640000005</v>
      </c>
      <c r="J18" s="46"/>
      <c r="K18" s="46" t="s">
        <v>80</v>
      </c>
      <c r="L18" s="46">
        <v>3.6124629100000001</v>
      </c>
      <c r="M18" s="46">
        <v>11.124111640000001</v>
      </c>
      <c r="N18" s="46">
        <v>5.1372456900000003</v>
      </c>
      <c r="V18" s="18"/>
      <c r="W18" s="18"/>
      <c r="X18" s="18"/>
      <c r="Y18" s="18"/>
      <c r="AA18" s="18"/>
      <c r="AB18" s="18"/>
      <c r="AC18" s="18"/>
      <c r="AF18" s="18"/>
      <c r="AG18" s="18"/>
      <c r="AH18" s="18"/>
    </row>
    <row r="19" spans="1:34" x14ac:dyDescent="0.35">
      <c r="A19" s="21" t="s">
        <v>27</v>
      </c>
      <c r="B19" s="46">
        <v>120.86451407999999</v>
      </c>
      <c r="C19" s="46">
        <v>90.158744339999899</v>
      </c>
      <c r="D19" s="46">
        <v>82.0862918199999</v>
      </c>
      <c r="E19" s="174"/>
      <c r="F19" s="46" t="s">
        <v>74</v>
      </c>
      <c r="G19" s="46">
        <v>164.42368779</v>
      </c>
      <c r="H19" s="46">
        <v>97.311673230000011</v>
      </c>
      <c r="I19" s="46">
        <v>65.617576920000005</v>
      </c>
      <c r="J19" s="46"/>
      <c r="K19" s="46" t="s">
        <v>71</v>
      </c>
      <c r="L19" s="46">
        <v>0.23620268</v>
      </c>
      <c r="M19" s="46">
        <v>0.73573417000000008</v>
      </c>
      <c r="N19" s="46">
        <v>4.6963640499999997</v>
      </c>
      <c r="V19" s="18"/>
      <c r="W19" s="18"/>
      <c r="X19" s="18"/>
      <c r="Y19" s="18"/>
      <c r="AA19" s="18"/>
      <c r="AB19" s="18"/>
      <c r="AC19" s="18"/>
      <c r="AF19" s="18"/>
      <c r="AG19" s="18"/>
      <c r="AH19" s="18"/>
    </row>
    <row r="20" spans="1:34" x14ac:dyDescent="0.35">
      <c r="A20" s="21" t="s">
        <v>21</v>
      </c>
      <c r="B20" s="46">
        <v>55.082497439999997</v>
      </c>
      <c r="C20" s="46">
        <v>51.376046989999899</v>
      </c>
      <c r="D20" s="46">
        <v>81.026542919999997</v>
      </c>
      <c r="E20" s="174"/>
      <c r="F20" s="46" t="s">
        <v>88</v>
      </c>
      <c r="G20" s="46">
        <v>58.420825829999998</v>
      </c>
      <c r="H20" s="46">
        <v>36.125329039999997</v>
      </c>
      <c r="I20" s="46">
        <v>56.259545509999995</v>
      </c>
      <c r="J20" s="46"/>
      <c r="K20" s="46" t="s">
        <v>184</v>
      </c>
      <c r="L20" s="46">
        <v>6.9902058799999995</v>
      </c>
      <c r="M20" s="46">
        <v>71.4175572299999</v>
      </c>
      <c r="N20" s="46">
        <v>4.6596192800000003</v>
      </c>
      <c r="V20" s="18"/>
      <c r="W20" s="18"/>
      <c r="X20" s="18"/>
      <c r="Y20" s="18"/>
      <c r="AA20" s="18"/>
      <c r="AB20" s="18"/>
      <c r="AC20" s="18"/>
      <c r="AF20" s="18"/>
      <c r="AG20" s="18"/>
      <c r="AH20" s="18"/>
    </row>
    <row r="21" spans="1:34" x14ac:dyDescent="0.35">
      <c r="A21" s="21" t="s">
        <v>178</v>
      </c>
      <c r="B21" s="46">
        <v>71.336459629999993</v>
      </c>
      <c r="C21" s="46">
        <v>63.184959409999898</v>
      </c>
      <c r="D21" s="46">
        <v>80.631135479999998</v>
      </c>
      <c r="E21" s="174"/>
      <c r="F21" s="46" t="s">
        <v>75</v>
      </c>
      <c r="G21" s="46">
        <v>30.461322719999998</v>
      </c>
      <c r="H21" s="46">
        <v>44.230416750000003</v>
      </c>
      <c r="I21" s="46">
        <v>49.345330259999997</v>
      </c>
      <c r="J21" s="46"/>
      <c r="K21" s="46" t="s">
        <v>140</v>
      </c>
      <c r="L21" s="46">
        <v>4.5845940899999995</v>
      </c>
      <c r="M21" s="46">
        <v>3.1708502300000001</v>
      </c>
      <c r="N21" s="46">
        <v>4.3242630499999999</v>
      </c>
      <c r="V21" s="18"/>
      <c r="W21" s="18"/>
      <c r="X21" s="18"/>
      <c r="Y21" s="18"/>
      <c r="AA21" s="18"/>
      <c r="AB21" s="18"/>
      <c r="AC21" s="18"/>
      <c r="AF21" s="18"/>
      <c r="AG21" s="18"/>
      <c r="AH21" s="18"/>
    </row>
    <row r="22" spans="1:34" x14ac:dyDescent="0.35">
      <c r="A22" s="21" t="s">
        <v>195</v>
      </c>
      <c r="B22" s="46">
        <v>79.001835570000097</v>
      </c>
      <c r="C22" s="46">
        <v>85.06146815999999</v>
      </c>
      <c r="D22" s="46">
        <v>79.785045519999997</v>
      </c>
      <c r="E22" s="174"/>
      <c r="F22" s="46" t="s">
        <v>151</v>
      </c>
      <c r="G22" s="46">
        <v>139.64053693</v>
      </c>
      <c r="H22" s="46">
        <v>35.54810955</v>
      </c>
      <c r="I22" s="46">
        <v>43.704852159999994</v>
      </c>
      <c r="J22" s="46"/>
      <c r="K22" s="46" t="s">
        <v>178</v>
      </c>
      <c r="L22" s="46">
        <v>2.5169106800000001</v>
      </c>
      <c r="M22" s="46">
        <v>4.4509457399999999</v>
      </c>
      <c r="N22" s="46">
        <v>4.1133089800000002</v>
      </c>
      <c r="V22" s="18"/>
      <c r="W22" s="18"/>
      <c r="X22" s="18"/>
      <c r="Y22" s="18"/>
      <c r="AA22" s="18"/>
      <c r="AB22" s="18"/>
      <c r="AC22" s="18"/>
      <c r="AF22" s="18"/>
      <c r="AG22" s="18"/>
      <c r="AH22" s="18"/>
    </row>
    <row r="23" spans="1:34" x14ac:dyDescent="0.35">
      <c r="A23" s="21" t="s">
        <v>84</v>
      </c>
      <c r="B23" s="46">
        <v>93.591327070000204</v>
      </c>
      <c r="C23" s="46">
        <v>105.52700293000001</v>
      </c>
      <c r="D23" s="46">
        <v>76.876900740000096</v>
      </c>
      <c r="E23" s="174"/>
      <c r="F23" s="46" t="s">
        <v>140</v>
      </c>
      <c r="G23" s="46">
        <v>28.162479649999998</v>
      </c>
      <c r="H23" s="46">
        <v>8.3317006399999993</v>
      </c>
      <c r="I23" s="46">
        <v>40.250628689999999</v>
      </c>
      <c r="J23" s="46"/>
      <c r="K23" s="46" t="s">
        <v>162</v>
      </c>
      <c r="L23" s="46">
        <v>8.6719561499999998</v>
      </c>
      <c r="M23" s="46">
        <v>2.2663094500000001</v>
      </c>
      <c r="N23" s="46">
        <v>4.09615375</v>
      </c>
      <c r="V23" s="18"/>
      <c r="W23" s="18"/>
      <c r="X23" s="18"/>
      <c r="Y23" s="18"/>
      <c r="AA23" s="18"/>
      <c r="AB23" s="18"/>
      <c r="AC23" s="18"/>
      <c r="AF23" s="18"/>
      <c r="AG23" s="18"/>
      <c r="AH23" s="18"/>
    </row>
    <row r="24" spans="1:34" x14ac:dyDescent="0.35">
      <c r="A24" s="21" t="s">
        <v>96</v>
      </c>
      <c r="B24" s="46">
        <v>76.553331299999996</v>
      </c>
      <c r="C24" s="46">
        <v>63.186318899999904</v>
      </c>
      <c r="D24" s="46">
        <v>76.346388959999999</v>
      </c>
      <c r="E24" s="174"/>
      <c r="F24" s="46" t="s">
        <v>159</v>
      </c>
      <c r="G24" s="46">
        <v>54.458104579999997</v>
      </c>
      <c r="H24" s="46">
        <v>19.154643670000002</v>
      </c>
      <c r="I24" s="46">
        <v>39.282950130000003</v>
      </c>
      <c r="J24" s="46"/>
      <c r="K24" s="46" t="s">
        <v>195</v>
      </c>
      <c r="L24" s="46">
        <v>0.92590466000000005</v>
      </c>
      <c r="M24" s="46">
        <v>0.84240252000000004</v>
      </c>
      <c r="N24" s="46">
        <v>3.89476384</v>
      </c>
      <c r="V24" s="18"/>
      <c r="W24" s="18"/>
      <c r="X24" s="18"/>
      <c r="Y24" s="18"/>
      <c r="AA24" s="18"/>
      <c r="AB24" s="18"/>
      <c r="AC24" s="18"/>
      <c r="AF24" s="18"/>
      <c r="AG24" s="18"/>
      <c r="AH24" s="18"/>
    </row>
    <row r="25" spans="1:34" x14ac:dyDescent="0.35">
      <c r="A25" s="21" t="s">
        <v>106</v>
      </c>
      <c r="B25" s="46">
        <v>69.54786175999979</v>
      </c>
      <c r="C25" s="46">
        <v>97.18813440000001</v>
      </c>
      <c r="D25" s="46">
        <v>75.54715001000001</v>
      </c>
      <c r="E25" s="174"/>
      <c r="F25" s="46" t="s">
        <v>138</v>
      </c>
      <c r="G25" s="46">
        <v>101.58913726</v>
      </c>
      <c r="H25" s="46">
        <v>52.13155124</v>
      </c>
      <c r="I25" s="46">
        <v>35.529940060000001</v>
      </c>
      <c r="J25" s="46"/>
      <c r="K25" s="46" t="s">
        <v>168</v>
      </c>
      <c r="L25" s="46">
        <v>0.29574876</v>
      </c>
      <c r="M25" s="46">
        <v>0.25309081999999999</v>
      </c>
      <c r="N25" s="46">
        <v>3.8221942900000001</v>
      </c>
      <c r="V25" s="18"/>
      <c r="W25" s="18"/>
      <c r="X25" s="18"/>
      <c r="Y25" s="18"/>
      <c r="AA25" s="18"/>
      <c r="AB25" s="18"/>
      <c r="AC25" s="18"/>
      <c r="AF25" s="18"/>
      <c r="AG25" s="18"/>
      <c r="AH25" s="18"/>
    </row>
    <row r="26" spans="1:34" x14ac:dyDescent="0.35">
      <c r="A26" s="21" t="s">
        <v>15</v>
      </c>
      <c r="B26" s="46">
        <v>67.628981480000007</v>
      </c>
      <c r="C26" s="46">
        <v>74.908561579999997</v>
      </c>
      <c r="D26" s="46">
        <v>70.818401650000197</v>
      </c>
      <c r="E26" s="174"/>
      <c r="F26" s="46" t="s">
        <v>124</v>
      </c>
      <c r="G26" s="46">
        <v>22.151090069999999</v>
      </c>
      <c r="H26" s="46">
        <v>4.38255953</v>
      </c>
      <c r="I26" s="46">
        <v>33.471121799999999</v>
      </c>
      <c r="J26" s="46"/>
      <c r="K26" s="46" t="s">
        <v>157</v>
      </c>
      <c r="L26" s="46">
        <v>3.05796299</v>
      </c>
      <c r="M26" s="46">
        <v>3.3822835699999998</v>
      </c>
      <c r="N26" s="46">
        <v>3.7424810900000001</v>
      </c>
      <c r="V26" s="18"/>
      <c r="W26" s="18"/>
      <c r="X26" s="18"/>
      <c r="Y26" s="18"/>
      <c r="AA26" s="18"/>
      <c r="AB26" s="18"/>
      <c r="AC26" s="18"/>
      <c r="AF26" s="18"/>
      <c r="AG26" s="18"/>
      <c r="AH26" s="18"/>
    </row>
    <row r="27" spans="1:34" x14ac:dyDescent="0.35">
      <c r="A27" s="21" t="s">
        <v>105</v>
      </c>
      <c r="B27" s="46">
        <v>74.6295093600001</v>
      </c>
      <c r="C27" s="46">
        <v>67.296097650000092</v>
      </c>
      <c r="D27" s="46">
        <v>69.641272000000001</v>
      </c>
      <c r="E27" s="174"/>
      <c r="F27" s="46" t="s">
        <v>15</v>
      </c>
      <c r="G27" s="46">
        <v>28.843587829999997</v>
      </c>
      <c r="H27" s="46">
        <v>48.094139599999998</v>
      </c>
      <c r="I27" s="46">
        <v>31.581182309999999</v>
      </c>
      <c r="J27" s="46"/>
      <c r="K27" s="46" t="s">
        <v>158</v>
      </c>
      <c r="L27" s="46">
        <v>14.14501943</v>
      </c>
      <c r="M27" s="46">
        <v>8.7424263900000003</v>
      </c>
      <c r="N27" s="46">
        <v>3.18066907</v>
      </c>
      <c r="V27" s="18"/>
      <c r="W27" s="18"/>
      <c r="X27" s="18"/>
      <c r="Y27" s="18"/>
      <c r="AA27" s="18"/>
      <c r="AB27" s="18"/>
      <c r="AC27" s="18"/>
      <c r="AF27" s="18"/>
      <c r="AG27" s="18"/>
      <c r="AH27" s="18"/>
    </row>
    <row r="28" spans="1:34" x14ac:dyDescent="0.35">
      <c r="A28" s="21" t="s">
        <v>66</v>
      </c>
      <c r="B28" s="46">
        <v>82.065117040000089</v>
      </c>
      <c r="C28" s="46">
        <v>122.65396087000001</v>
      </c>
      <c r="D28" s="46">
        <v>68.788760119999907</v>
      </c>
      <c r="E28" s="174"/>
      <c r="F28" s="46" t="s">
        <v>21</v>
      </c>
      <c r="G28" s="46">
        <v>107.95967279000001</v>
      </c>
      <c r="H28" s="46">
        <v>72.069921140000005</v>
      </c>
      <c r="I28" s="46">
        <v>31.05100788</v>
      </c>
      <c r="J28" s="46"/>
      <c r="K28" s="46" t="s">
        <v>213</v>
      </c>
      <c r="L28" s="46">
        <v>1.5594591599999998</v>
      </c>
      <c r="M28" s="46">
        <v>1.7044099500000001</v>
      </c>
      <c r="N28" s="46">
        <v>2.9220712999999998</v>
      </c>
      <c r="V28" s="18"/>
      <c r="W28" s="18"/>
      <c r="X28" s="18"/>
      <c r="Y28" s="18"/>
      <c r="AA28" s="18"/>
      <c r="AB28" s="18"/>
      <c r="AC28" s="18"/>
      <c r="AF28" s="18"/>
      <c r="AG28" s="18"/>
      <c r="AH28" s="18"/>
    </row>
    <row r="29" spans="1:34" x14ac:dyDescent="0.35">
      <c r="A29" s="21" t="s">
        <v>176</v>
      </c>
      <c r="B29" s="46">
        <v>50.876565069999998</v>
      </c>
      <c r="C29" s="46">
        <v>64.484807590000202</v>
      </c>
      <c r="D29" s="46">
        <v>64.726049989999893</v>
      </c>
      <c r="E29" s="174"/>
      <c r="F29" s="46" t="s">
        <v>685</v>
      </c>
      <c r="G29" s="46">
        <v>1.2856884399999999</v>
      </c>
      <c r="H29" s="46">
        <v>2.6328953900000003</v>
      </c>
      <c r="I29" s="46">
        <v>29.998899809999998</v>
      </c>
      <c r="J29" s="46"/>
      <c r="K29" s="46" t="s">
        <v>102</v>
      </c>
      <c r="L29" s="46">
        <v>3.4502117400000003</v>
      </c>
      <c r="M29" s="46">
        <v>1.6455446200000001</v>
      </c>
      <c r="N29" s="46">
        <v>2.6921055699999998</v>
      </c>
      <c r="V29" s="18"/>
      <c r="W29" s="18"/>
      <c r="X29" s="18"/>
      <c r="Y29" s="18"/>
      <c r="AA29" s="18"/>
      <c r="AB29" s="18"/>
      <c r="AC29" s="18"/>
      <c r="AF29" s="18"/>
      <c r="AG29" s="18"/>
      <c r="AH29" s="18"/>
    </row>
    <row r="30" spans="1:34" x14ac:dyDescent="0.35">
      <c r="A30" s="21" t="s">
        <v>138</v>
      </c>
      <c r="B30" s="46">
        <v>77.707596680000094</v>
      </c>
      <c r="C30" s="46">
        <v>84.230084319999904</v>
      </c>
      <c r="D30" s="46">
        <v>60.378650569999799</v>
      </c>
      <c r="E30" s="174"/>
      <c r="F30" s="46" t="s">
        <v>81</v>
      </c>
      <c r="G30" s="46">
        <v>22.091951809999998</v>
      </c>
      <c r="H30" s="46">
        <v>14.363632089999999</v>
      </c>
      <c r="I30" s="46">
        <v>29.638679739999997</v>
      </c>
      <c r="J30" s="46"/>
      <c r="K30" s="46" t="s">
        <v>138</v>
      </c>
      <c r="L30" s="46">
        <v>4.0326536600000003</v>
      </c>
      <c r="M30" s="46">
        <v>4.9207531299999996</v>
      </c>
      <c r="N30" s="46">
        <v>2.6381502400000003</v>
      </c>
      <c r="V30" s="18"/>
      <c r="W30" s="18"/>
      <c r="X30" s="18"/>
      <c r="Y30" s="18"/>
      <c r="AA30" s="18"/>
      <c r="AB30" s="18"/>
      <c r="AC30" s="18"/>
      <c r="AF30" s="18"/>
      <c r="AG30" s="18"/>
      <c r="AH30" s="18"/>
    </row>
    <row r="31" spans="1:34" x14ac:dyDescent="0.35">
      <c r="A31" s="21" t="s">
        <v>101</v>
      </c>
      <c r="B31" s="46">
        <v>46.207322689999998</v>
      </c>
      <c r="C31" s="46">
        <v>50.641855790000001</v>
      </c>
      <c r="D31" s="46">
        <v>58.670706070000001</v>
      </c>
      <c r="E31" s="174"/>
      <c r="F31" s="46" t="s">
        <v>163</v>
      </c>
      <c r="G31" s="46">
        <v>13.42167813</v>
      </c>
      <c r="H31" s="46">
        <v>10.989094250000001</v>
      </c>
      <c r="I31" s="46">
        <v>23.278182149999999</v>
      </c>
      <c r="J31" s="46"/>
      <c r="K31" s="46" t="s">
        <v>161</v>
      </c>
      <c r="L31" s="46">
        <v>3.2700332099999998</v>
      </c>
      <c r="M31" s="46">
        <v>1.2325658799999999</v>
      </c>
      <c r="N31" s="46">
        <v>2.6250196299999997</v>
      </c>
      <c r="V31" s="18"/>
      <c r="W31" s="18"/>
      <c r="X31" s="18"/>
      <c r="Y31" s="18"/>
      <c r="AA31" s="18"/>
      <c r="AB31" s="18"/>
      <c r="AC31" s="18"/>
      <c r="AF31" s="18"/>
      <c r="AG31" s="18"/>
      <c r="AH31" s="18"/>
    </row>
    <row r="32" spans="1:34" x14ac:dyDescent="0.35">
      <c r="A32" s="21" t="s">
        <v>62</v>
      </c>
      <c r="B32" s="46">
        <v>57.625782700000002</v>
      </c>
      <c r="C32" s="46">
        <v>72.487600620000009</v>
      </c>
      <c r="D32" s="46">
        <v>58.380522090000099</v>
      </c>
      <c r="E32" s="174"/>
      <c r="F32" s="46" t="s">
        <v>86</v>
      </c>
      <c r="G32" s="46">
        <v>15.818041210000001</v>
      </c>
      <c r="H32" s="46">
        <v>15.983596289999999</v>
      </c>
      <c r="I32" s="46">
        <v>21.198338739999997</v>
      </c>
      <c r="J32" s="46"/>
      <c r="K32" s="46" t="s">
        <v>135</v>
      </c>
      <c r="L32" s="46">
        <v>5.1618674000000002</v>
      </c>
      <c r="M32" s="46">
        <v>4.3721290700000006</v>
      </c>
      <c r="N32" s="46">
        <v>2.6247153299999999</v>
      </c>
      <c r="V32" s="18"/>
      <c r="W32" s="18"/>
      <c r="X32" s="18"/>
      <c r="Y32" s="18"/>
      <c r="AA32" s="18"/>
      <c r="AB32" s="18"/>
      <c r="AC32" s="18"/>
      <c r="AF32" s="18"/>
      <c r="AG32" s="18"/>
      <c r="AH32" s="18"/>
    </row>
    <row r="33" spans="1:34" x14ac:dyDescent="0.35">
      <c r="A33" s="21" t="s">
        <v>189</v>
      </c>
      <c r="B33" s="46">
        <v>40.362254159999999</v>
      </c>
      <c r="C33" s="46">
        <v>74.265157309999893</v>
      </c>
      <c r="D33" s="46">
        <v>56.555533390000001</v>
      </c>
      <c r="E33" s="174"/>
      <c r="F33" s="46" t="s">
        <v>105</v>
      </c>
      <c r="G33" s="46">
        <v>4.6834069999999998E-2</v>
      </c>
      <c r="H33" s="46">
        <v>14.616148619999999</v>
      </c>
      <c r="I33" s="46">
        <v>19.08316572</v>
      </c>
      <c r="J33" s="46"/>
      <c r="K33" s="46" t="s">
        <v>208</v>
      </c>
      <c r="L33" s="46">
        <v>5.3062144500000006</v>
      </c>
      <c r="M33" s="46">
        <v>2.4356157999999999</v>
      </c>
      <c r="N33" s="46">
        <v>2.4420240499999997</v>
      </c>
      <c r="V33" s="18"/>
      <c r="W33" s="18"/>
      <c r="X33" s="18"/>
      <c r="Y33" s="18"/>
      <c r="AA33" s="18"/>
      <c r="AB33" s="18"/>
      <c r="AC33" s="18"/>
      <c r="AF33" s="18"/>
      <c r="AG33" s="18"/>
      <c r="AH33" s="18"/>
    </row>
    <row r="34" spans="1:34" x14ac:dyDescent="0.35">
      <c r="A34" s="21" t="s">
        <v>174</v>
      </c>
      <c r="B34" s="46">
        <v>46.936774210000003</v>
      </c>
      <c r="C34" s="46">
        <v>71.764976830000109</v>
      </c>
      <c r="D34" s="46">
        <v>55.23353187</v>
      </c>
      <c r="E34" s="174"/>
      <c r="F34" s="46" t="s">
        <v>180</v>
      </c>
      <c r="G34" s="46">
        <v>27.774332000000001</v>
      </c>
      <c r="H34" s="46">
        <v>8.9876215699999893</v>
      </c>
      <c r="I34" s="46">
        <v>18.736256770000001</v>
      </c>
      <c r="J34" s="46"/>
      <c r="K34" s="46" t="s">
        <v>175</v>
      </c>
      <c r="L34" s="46">
        <v>2.7180611200000002</v>
      </c>
      <c r="M34" s="46">
        <v>3.6678787400000004</v>
      </c>
      <c r="N34" s="46">
        <v>2.4139835399999998</v>
      </c>
      <c r="V34" s="18"/>
      <c r="W34" s="18"/>
      <c r="X34" s="18"/>
      <c r="Y34" s="18"/>
      <c r="AA34" s="18"/>
      <c r="AB34" s="18"/>
      <c r="AC34" s="18"/>
      <c r="AF34" s="18"/>
      <c r="AG34" s="18"/>
      <c r="AH34" s="18"/>
    </row>
    <row r="35" spans="1:34" x14ac:dyDescent="0.35">
      <c r="A35" s="21" t="s">
        <v>160</v>
      </c>
      <c r="B35" s="46">
        <v>12.1457999</v>
      </c>
      <c r="C35" s="46">
        <v>22.72098295</v>
      </c>
      <c r="D35" s="46">
        <v>54.200872339999897</v>
      </c>
      <c r="E35" s="174"/>
      <c r="F35" s="46" t="s">
        <v>11</v>
      </c>
      <c r="G35" s="46">
        <v>4.4108303600000003</v>
      </c>
      <c r="H35" s="46">
        <v>4.7612219699999994</v>
      </c>
      <c r="I35" s="46">
        <v>18.680734659999999</v>
      </c>
      <c r="J35" s="46"/>
      <c r="K35" s="46" t="s">
        <v>146</v>
      </c>
      <c r="L35" s="46">
        <v>8.2085860700000008</v>
      </c>
      <c r="M35" s="46">
        <v>1.01442045</v>
      </c>
      <c r="N35" s="46">
        <v>2.37321727</v>
      </c>
      <c r="V35" s="18"/>
      <c r="W35" s="18"/>
      <c r="X35" s="18"/>
      <c r="Y35" s="18"/>
      <c r="AA35" s="18"/>
      <c r="AB35" s="18"/>
      <c r="AC35" s="18"/>
      <c r="AF35" s="18"/>
      <c r="AG35" s="18"/>
      <c r="AH35" s="18"/>
    </row>
    <row r="36" spans="1:34" x14ac:dyDescent="0.35">
      <c r="A36" s="21" t="s">
        <v>158</v>
      </c>
      <c r="B36" s="46">
        <v>73.05368722999971</v>
      </c>
      <c r="C36" s="46">
        <v>49.529087889999893</v>
      </c>
      <c r="D36" s="46">
        <v>50.323994309999897</v>
      </c>
      <c r="E36" s="174"/>
      <c r="F36" s="46" t="s">
        <v>84</v>
      </c>
      <c r="G36" s="46">
        <v>33.098210129999998</v>
      </c>
      <c r="H36" s="46">
        <v>32.472236119999998</v>
      </c>
      <c r="I36" s="46">
        <v>18.513261350000001</v>
      </c>
      <c r="J36" s="46"/>
      <c r="K36" s="46" t="s">
        <v>113</v>
      </c>
      <c r="L36" s="46">
        <v>0.33261829999999998</v>
      </c>
      <c r="M36" s="46">
        <v>0.8800730699999999</v>
      </c>
      <c r="N36" s="46">
        <v>2.1501105699999998</v>
      </c>
      <c r="V36" s="18"/>
      <c r="W36" s="18"/>
      <c r="X36" s="18"/>
      <c r="Y36" s="18"/>
      <c r="AA36" s="18"/>
      <c r="AB36" s="18"/>
      <c r="AC36" s="18"/>
      <c r="AF36" s="18"/>
      <c r="AG36" s="18"/>
      <c r="AH36" s="18"/>
    </row>
    <row r="37" spans="1:34" x14ac:dyDescent="0.35">
      <c r="A37" s="21" t="s">
        <v>151</v>
      </c>
      <c r="B37" s="46">
        <v>47.763490020000006</v>
      </c>
      <c r="C37" s="46">
        <v>83.680816380000095</v>
      </c>
      <c r="D37" s="46">
        <v>47.624873319999999</v>
      </c>
      <c r="E37" s="174"/>
      <c r="F37" s="46" t="s">
        <v>172</v>
      </c>
      <c r="G37" s="46">
        <v>7.9741538399999996</v>
      </c>
      <c r="H37" s="46">
        <v>7.3580477200000001</v>
      </c>
      <c r="I37" s="46">
        <v>17.94113046</v>
      </c>
      <c r="J37" s="46"/>
      <c r="K37" s="46" t="s">
        <v>96</v>
      </c>
      <c r="L37" s="46">
        <v>6.8423430300000003</v>
      </c>
      <c r="M37" s="46">
        <v>4.1361040999999998</v>
      </c>
      <c r="N37" s="46">
        <v>2.0991542599999997</v>
      </c>
      <c r="V37" s="18"/>
      <c r="W37" s="18"/>
      <c r="X37" s="18"/>
      <c r="Y37" s="18"/>
      <c r="AA37" s="18"/>
      <c r="AB37" s="18"/>
      <c r="AC37" s="18"/>
      <c r="AF37" s="18"/>
      <c r="AG37" s="18"/>
      <c r="AH37" s="18"/>
    </row>
    <row r="38" spans="1:34" x14ac:dyDescent="0.35">
      <c r="A38" s="21" t="s">
        <v>200</v>
      </c>
      <c r="B38" s="46">
        <v>42.568269490000098</v>
      </c>
      <c r="C38" s="46">
        <v>52.051497739999895</v>
      </c>
      <c r="D38" s="46">
        <v>44.42442398</v>
      </c>
      <c r="E38" s="174"/>
      <c r="F38" s="46" t="s">
        <v>174</v>
      </c>
      <c r="G38" s="46">
        <v>7.8383086399999993</v>
      </c>
      <c r="H38" s="46">
        <v>2.6397693900000001</v>
      </c>
      <c r="I38" s="46">
        <v>15.704327769999999</v>
      </c>
      <c r="J38" s="46"/>
      <c r="K38" s="46" t="s">
        <v>180</v>
      </c>
      <c r="L38" s="46">
        <v>1.5424536200000001</v>
      </c>
      <c r="M38" s="46">
        <v>1.4193306000000001</v>
      </c>
      <c r="N38" s="46">
        <v>2.0980446000000001</v>
      </c>
      <c r="V38" s="18"/>
      <c r="W38" s="18"/>
      <c r="X38" s="18"/>
      <c r="Y38" s="18"/>
      <c r="AA38" s="18"/>
      <c r="AB38" s="18"/>
      <c r="AC38" s="18"/>
      <c r="AF38" s="18"/>
      <c r="AG38" s="18"/>
      <c r="AH38" s="18"/>
    </row>
    <row r="39" spans="1:34" x14ac:dyDescent="0.35">
      <c r="A39" s="21" t="s">
        <v>29</v>
      </c>
      <c r="B39" s="46">
        <v>76.092079029999795</v>
      </c>
      <c r="C39" s="46">
        <v>46.977597360000104</v>
      </c>
      <c r="D39" s="46">
        <v>44.003571419999901</v>
      </c>
      <c r="E39" s="174"/>
      <c r="F39" s="46" t="s">
        <v>8</v>
      </c>
      <c r="G39" s="46">
        <v>17.882225730000002</v>
      </c>
      <c r="H39" s="46">
        <v>12.071141630000001</v>
      </c>
      <c r="I39" s="46">
        <v>15.056323689999999</v>
      </c>
      <c r="J39" s="46"/>
      <c r="K39" s="46" t="s">
        <v>188</v>
      </c>
      <c r="L39" s="46">
        <v>0.28059040000000002</v>
      </c>
      <c r="M39" s="46">
        <v>0.95886081000000001</v>
      </c>
      <c r="N39" s="46">
        <v>1.9577711499999999</v>
      </c>
      <c r="V39" s="18"/>
      <c r="W39" s="18"/>
      <c r="X39" s="18"/>
      <c r="Y39" s="18"/>
      <c r="AA39" s="18"/>
      <c r="AB39" s="18"/>
      <c r="AC39" s="18"/>
      <c r="AF39" s="18"/>
      <c r="AG39" s="18"/>
      <c r="AH39" s="18"/>
    </row>
    <row r="40" spans="1:34" x14ac:dyDescent="0.35">
      <c r="A40" s="21" t="s">
        <v>166</v>
      </c>
      <c r="B40" s="46">
        <v>69.747993500000007</v>
      </c>
      <c r="C40" s="46">
        <v>35.62207179</v>
      </c>
      <c r="D40" s="46">
        <v>43.352940439999998</v>
      </c>
      <c r="E40" s="174"/>
      <c r="F40" s="46" t="s">
        <v>149</v>
      </c>
      <c r="G40" s="46">
        <v>0.23292632999999999</v>
      </c>
      <c r="H40" s="46">
        <v>2.5203000000000001E-3</v>
      </c>
      <c r="I40" s="46">
        <v>14.736335539999999</v>
      </c>
      <c r="J40" s="46"/>
      <c r="K40" s="46" t="s">
        <v>150</v>
      </c>
      <c r="L40" s="46">
        <v>0.64949325000000002</v>
      </c>
      <c r="M40" s="46">
        <v>2.2549338199999998</v>
      </c>
      <c r="N40" s="46">
        <v>1.89836369</v>
      </c>
      <c r="V40" s="18"/>
      <c r="W40" s="18"/>
      <c r="X40" s="18"/>
      <c r="Y40" s="18"/>
      <c r="AA40" s="18"/>
      <c r="AB40" s="18"/>
      <c r="AC40" s="18"/>
      <c r="AF40" s="18"/>
      <c r="AG40" s="18"/>
      <c r="AH40" s="18"/>
    </row>
    <row r="41" spans="1:34" x14ac:dyDescent="0.35">
      <c r="A41" s="21" t="s">
        <v>5</v>
      </c>
      <c r="B41" s="46">
        <v>59.125762649999999</v>
      </c>
      <c r="C41" s="46">
        <v>46.258151789999999</v>
      </c>
      <c r="D41" s="46">
        <v>42.28132695</v>
      </c>
      <c r="E41" s="174"/>
      <c r="F41" s="46" t="s">
        <v>142</v>
      </c>
      <c r="G41" s="46">
        <v>5.9145234999999996</v>
      </c>
      <c r="H41" s="46">
        <v>2.4230351099999998</v>
      </c>
      <c r="I41" s="46">
        <v>14.309748239999999</v>
      </c>
      <c r="J41" s="46"/>
      <c r="K41" s="46" t="s">
        <v>174</v>
      </c>
      <c r="L41" s="46">
        <v>1.80624373</v>
      </c>
      <c r="M41" s="46">
        <v>1.78387506</v>
      </c>
      <c r="N41" s="46">
        <v>1.8471042200000001</v>
      </c>
      <c r="V41" s="18"/>
      <c r="W41" s="18"/>
      <c r="X41" s="18"/>
      <c r="Y41" s="18"/>
      <c r="AA41" s="18"/>
      <c r="AB41" s="18"/>
      <c r="AC41" s="18"/>
      <c r="AF41" s="18"/>
      <c r="AG41" s="18"/>
      <c r="AH41" s="18"/>
    </row>
    <row r="42" spans="1:34" x14ac:dyDescent="0.35">
      <c r="A42" s="21" t="s">
        <v>113</v>
      </c>
      <c r="B42" s="46">
        <v>41.211794310000201</v>
      </c>
      <c r="C42" s="46">
        <v>50.255379010000304</v>
      </c>
      <c r="D42" s="46">
        <v>41.0315967800001</v>
      </c>
      <c r="E42" s="174"/>
      <c r="F42" s="46" t="s">
        <v>162</v>
      </c>
      <c r="G42" s="46">
        <v>19.95001353</v>
      </c>
      <c r="H42" s="46">
        <v>3.8494132599999999</v>
      </c>
      <c r="I42" s="46">
        <v>14.050568609999999</v>
      </c>
      <c r="J42" s="46"/>
      <c r="K42" s="46" t="s">
        <v>207</v>
      </c>
      <c r="L42" s="46">
        <v>2.0645361699999998</v>
      </c>
      <c r="M42" s="46">
        <v>1.65245168</v>
      </c>
      <c r="N42" s="46">
        <v>1.7560989899999999</v>
      </c>
      <c r="V42" s="18"/>
      <c r="W42" s="18"/>
      <c r="X42" s="18"/>
      <c r="Y42" s="18"/>
      <c r="AA42" s="18"/>
      <c r="AB42" s="18"/>
      <c r="AC42" s="18"/>
      <c r="AF42" s="18"/>
      <c r="AG42" s="18"/>
      <c r="AH42" s="18"/>
    </row>
    <row r="43" spans="1:34" x14ac:dyDescent="0.35">
      <c r="A43" s="21" t="s">
        <v>145</v>
      </c>
      <c r="B43" s="46">
        <v>14.526802500000001</v>
      </c>
      <c r="C43" s="46">
        <v>57.656982090000007</v>
      </c>
      <c r="D43" s="46">
        <v>40.178030829999997</v>
      </c>
      <c r="E43" s="174"/>
      <c r="F43" s="46" t="s">
        <v>182</v>
      </c>
      <c r="G43" s="46">
        <v>8.9270835599999998</v>
      </c>
      <c r="H43" s="46">
        <v>11.87990055</v>
      </c>
      <c r="I43" s="46">
        <v>12.708043910000001</v>
      </c>
      <c r="J43" s="46"/>
      <c r="K43" s="46" t="s">
        <v>215</v>
      </c>
      <c r="L43" s="46">
        <v>0.28298742999999998</v>
      </c>
      <c r="M43" s="46">
        <v>0.13373132999999998</v>
      </c>
      <c r="N43" s="46">
        <v>1.7518475800000002</v>
      </c>
      <c r="V43" s="18"/>
      <c r="W43" s="18"/>
      <c r="X43" s="18"/>
      <c r="Y43" s="18"/>
      <c r="AA43" s="18"/>
      <c r="AB43" s="18"/>
      <c r="AC43" s="18"/>
      <c r="AF43" s="18"/>
      <c r="AG43" s="18"/>
      <c r="AH43" s="18"/>
    </row>
    <row r="44" spans="1:34" x14ac:dyDescent="0.35">
      <c r="A44" s="21" t="s">
        <v>198</v>
      </c>
      <c r="B44" s="46">
        <v>38.799306869999995</v>
      </c>
      <c r="C44" s="46">
        <v>49.385596619999994</v>
      </c>
      <c r="D44" s="46">
        <v>40.07799412</v>
      </c>
      <c r="E44" s="174"/>
      <c r="F44" s="46" t="s">
        <v>144</v>
      </c>
      <c r="G44" s="46">
        <v>10.83745476</v>
      </c>
      <c r="H44" s="46">
        <v>3.2505906000000002</v>
      </c>
      <c r="I44" s="46">
        <v>12.203341230000001</v>
      </c>
      <c r="J44" s="46"/>
      <c r="K44" s="46" t="s">
        <v>164</v>
      </c>
      <c r="L44" s="46">
        <v>3.8498497599999997</v>
      </c>
      <c r="M44" s="46">
        <v>1.5183800199999999</v>
      </c>
      <c r="N44" s="46">
        <v>1.70106226</v>
      </c>
      <c r="V44" s="18"/>
      <c r="W44" s="18"/>
      <c r="X44" s="18"/>
      <c r="Y44" s="18"/>
      <c r="AA44" s="18"/>
      <c r="AB44" s="18"/>
      <c r="AC44" s="18"/>
      <c r="AF44" s="18"/>
      <c r="AG44" s="18"/>
      <c r="AH44" s="18"/>
    </row>
    <row r="45" spans="1:34" x14ac:dyDescent="0.35">
      <c r="A45" s="21" t="s">
        <v>18</v>
      </c>
      <c r="B45" s="46">
        <v>37.810306340000103</v>
      </c>
      <c r="C45" s="46">
        <v>37.877830150000001</v>
      </c>
      <c r="D45" s="46">
        <v>39.5615461699999</v>
      </c>
      <c r="E45" s="174"/>
      <c r="F45" s="46" t="s">
        <v>29</v>
      </c>
      <c r="G45" s="46">
        <v>3.1002472700000001</v>
      </c>
      <c r="H45" s="46">
        <v>4.3886225400000001</v>
      </c>
      <c r="I45" s="46">
        <v>12.0528215</v>
      </c>
      <c r="J45" s="46"/>
      <c r="K45" s="46" t="s">
        <v>151</v>
      </c>
      <c r="L45" s="46">
        <v>28.449771200000001</v>
      </c>
      <c r="M45" s="46">
        <v>7.2861703699999998</v>
      </c>
      <c r="N45" s="46">
        <v>1.6437446599999999</v>
      </c>
      <c r="V45" s="18"/>
      <c r="W45" s="18"/>
      <c r="X45" s="18"/>
      <c r="Y45" s="18"/>
      <c r="AA45" s="18"/>
      <c r="AB45" s="18"/>
      <c r="AC45" s="18"/>
      <c r="AF45" s="18"/>
      <c r="AG45" s="18"/>
      <c r="AH45" s="18"/>
    </row>
    <row r="46" spans="1:34" x14ac:dyDescent="0.35">
      <c r="A46" s="21" t="s">
        <v>192</v>
      </c>
      <c r="B46" s="46">
        <v>35.755999100000004</v>
      </c>
      <c r="C46" s="46">
        <v>42.290019449999896</v>
      </c>
      <c r="D46" s="46">
        <v>38.636639209999998</v>
      </c>
      <c r="E46" s="174"/>
      <c r="F46" s="46" t="s">
        <v>131</v>
      </c>
      <c r="G46" s="46">
        <v>12.304946390000001</v>
      </c>
      <c r="H46" s="46">
        <v>2.1465362300000002</v>
      </c>
      <c r="I46" s="46">
        <v>11.36895457</v>
      </c>
      <c r="J46" s="46"/>
      <c r="K46" s="46" t="s">
        <v>142</v>
      </c>
      <c r="L46" s="46">
        <v>0.90751802000000004</v>
      </c>
      <c r="M46" s="46">
        <v>2.4101877300000001</v>
      </c>
      <c r="N46" s="46">
        <v>1.6040024199999998</v>
      </c>
      <c r="V46" s="18"/>
      <c r="W46" s="18"/>
      <c r="X46" s="18"/>
      <c r="Y46" s="18"/>
      <c r="AA46" s="18"/>
      <c r="AB46" s="18"/>
      <c r="AC46" s="18"/>
      <c r="AF46" s="18"/>
      <c r="AG46" s="18"/>
      <c r="AH46" s="18"/>
    </row>
    <row r="47" spans="1:34" x14ac:dyDescent="0.35">
      <c r="A47" s="21" t="s">
        <v>17</v>
      </c>
      <c r="B47" s="46">
        <v>26.82715396</v>
      </c>
      <c r="C47" s="46">
        <v>38.978850509999901</v>
      </c>
      <c r="D47" s="46">
        <v>38.195152300000103</v>
      </c>
      <c r="E47" s="174"/>
      <c r="F47" s="46" t="s">
        <v>30</v>
      </c>
      <c r="G47" s="46">
        <v>21.388746269999999</v>
      </c>
      <c r="H47" s="46">
        <v>8.0699061600000004</v>
      </c>
      <c r="I47" s="46">
        <v>11.07039777</v>
      </c>
      <c r="J47" s="46"/>
      <c r="K47" s="46" t="s">
        <v>177</v>
      </c>
      <c r="L47" s="46">
        <v>6.1156627600000002</v>
      </c>
      <c r="M47" s="46">
        <v>0.61214433999999995</v>
      </c>
      <c r="N47" s="46">
        <v>1.56795654</v>
      </c>
      <c r="V47" s="18"/>
      <c r="W47" s="18"/>
      <c r="X47" s="18"/>
      <c r="Y47" s="18"/>
      <c r="AA47" s="18"/>
      <c r="AB47" s="18"/>
      <c r="AC47" s="18"/>
      <c r="AF47" s="18"/>
      <c r="AG47" s="18"/>
      <c r="AH47" s="18"/>
    </row>
    <row r="48" spans="1:34" x14ac:dyDescent="0.35">
      <c r="A48" s="21" t="s">
        <v>140</v>
      </c>
      <c r="B48" s="46">
        <v>25.432995200000001</v>
      </c>
      <c r="C48" s="46">
        <v>40.189103700000004</v>
      </c>
      <c r="D48" s="46">
        <v>38.183726379999896</v>
      </c>
      <c r="E48" s="174"/>
      <c r="F48" s="46" t="s">
        <v>129</v>
      </c>
      <c r="G48" s="46">
        <v>0.84135053000000004</v>
      </c>
      <c r="H48" s="46">
        <v>3.3530745899999999</v>
      </c>
      <c r="I48" s="46">
        <v>11.04530887</v>
      </c>
      <c r="J48" s="46"/>
      <c r="K48" s="46" t="s">
        <v>160</v>
      </c>
      <c r="L48" s="46">
        <v>1.4554429799999999</v>
      </c>
      <c r="M48" s="46">
        <v>2.3424777300000001</v>
      </c>
      <c r="N48" s="46">
        <v>1.56603457</v>
      </c>
      <c r="V48" s="18"/>
      <c r="W48" s="18"/>
      <c r="X48" s="18"/>
      <c r="Y48" s="18"/>
      <c r="AA48" s="18"/>
      <c r="AB48" s="18"/>
      <c r="AC48" s="18"/>
      <c r="AF48" s="18"/>
      <c r="AG48" s="18"/>
      <c r="AH48" s="18"/>
    </row>
    <row r="49" spans="1:34" x14ac:dyDescent="0.35">
      <c r="A49" s="21" t="s">
        <v>202</v>
      </c>
      <c r="B49" s="46">
        <v>38.606634199999803</v>
      </c>
      <c r="C49" s="46">
        <v>45.66093438</v>
      </c>
      <c r="D49" s="46">
        <v>37.754106990000004</v>
      </c>
      <c r="E49" s="174"/>
      <c r="F49" s="46" t="s">
        <v>209</v>
      </c>
      <c r="G49" s="46">
        <v>7.27853189</v>
      </c>
      <c r="H49" s="46">
        <v>3.2096949800000001</v>
      </c>
      <c r="I49" s="46">
        <v>11.009287050000001</v>
      </c>
      <c r="J49" s="46"/>
      <c r="K49" s="46" t="s">
        <v>134</v>
      </c>
      <c r="L49" s="46">
        <v>3.7870560699999998</v>
      </c>
      <c r="M49" s="46">
        <v>1.9682331599999998</v>
      </c>
      <c r="N49" s="46">
        <v>1.4487058500000001</v>
      </c>
      <c r="V49" s="18"/>
      <c r="W49" s="18"/>
      <c r="X49" s="18"/>
      <c r="Y49" s="18"/>
      <c r="AA49" s="18"/>
      <c r="AB49" s="18"/>
      <c r="AC49" s="18"/>
      <c r="AF49" s="18"/>
      <c r="AG49" s="18"/>
      <c r="AH49" s="18"/>
    </row>
    <row r="50" spans="1:34" x14ac:dyDescent="0.35">
      <c r="A50" s="21" t="s">
        <v>157</v>
      </c>
      <c r="B50" s="46">
        <v>56.944927579999998</v>
      </c>
      <c r="C50" s="46">
        <v>42.339645990000001</v>
      </c>
      <c r="D50" s="46">
        <v>37.695530929999997</v>
      </c>
      <c r="E50" s="174"/>
      <c r="F50" s="46" t="s">
        <v>106</v>
      </c>
      <c r="G50" s="46">
        <v>5.0652051799999995</v>
      </c>
      <c r="H50" s="46">
        <v>6.4088090599999994</v>
      </c>
      <c r="I50" s="46">
        <v>10.695461980000001</v>
      </c>
      <c r="J50" s="46"/>
      <c r="K50" s="46" t="s">
        <v>205</v>
      </c>
      <c r="L50" s="46">
        <v>1.3535773500000001</v>
      </c>
      <c r="M50" s="46">
        <v>1.43650258</v>
      </c>
      <c r="N50" s="46">
        <v>1.29077357</v>
      </c>
      <c r="V50" s="18"/>
      <c r="W50" s="18"/>
      <c r="X50" s="18"/>
      <c r="Y50" s="18"/>
      <c r="AA50" s="18"/>
      <c r="AB50" s="18"/>
      <c r="AC50" s="18"/>
      <c r="AF50" s="18"/>
      <c r="AG50" s="18"/>
      <c r="AH50" s="18"/>
    </row>
    <row r="51" spans="1:34" x14ac:dyDescent="0.35">
      <c r="A51" s="21" t="s">
        <v>214</v>
      </c>
      <c r="B51" s="46">
        <v>31.2742364500001</v>
      </c>
      <c r="C51" s="46">
        <v>38.80025182</v>
      </c>
      <c r="D51" s="46">
        <v>37.674632799999998</v>
      </c>
      <c r="E51" s="174"/>
      <c r="F51" s="46" t="s">
        <v>166</v>
      </c>
      <c r="G51" s="46">
        <v>3.2194877599999998</v>
      </c>
      <c r="H51" s="46">
        <v>2.50290838</v>
      </c>
      <c r="I51" s="46">
        <v>10.510260779999999</v>
      </c>
      <c r="J51" s="46"/>
      <c r="K51" s="46" t="s">
        <v>209</v>
      </c>
      <c r="L51" s="46">
        <v>0.92254507000000097</v>
      </c>
      <c r="M51" s="46">
        <v>1.5852485700000001</v>
      </c>
      <c r="N51" s="46">
        <v>1.28657781</v>
      </c>
      <c r="V51" s="18"/>
      <c r="W51" s="18"/>
      <c r="X51" s="18"/>
      <c r="Y51" s="18"/>
      <c r="AA51" s="18"/>
      <c r="AB51" s="18"/>
      <c r="AC51" s="18"/>
      <c r="AF51" s="18"/>
      <c r="AG51" s="18"/>
      <c r="AH51" s="18"/>
    </row>
    <row r="52" spans="1:34" x14ac:dyDescent="0.35">
      <c r="A52" s="21" t="s">
        <v>125</v>
      </c>
      <c r="B52" s="46">
        <v>27.428020329999999</v>
      </c>
      <c r="C52" s="46">
        <v>39.293336659999994</v>
      </c>
      <c r="D52" s="46">
        <v>37.374162869999999</v>
      </c>
      <c r="E52" s="174"/>
      <c r="F52" s="46" t="s">
        <v>173</v>
      </c>
      <c r="G52" s="46">
        <v>18.191032209999999</v>
      </c>
      <c r="H52" s="46">
        <v>7.9741503399999996</v>
      </c>
      <c r="I52" s="46">
        <v>10.239246619999999</v>
      </c>
      <c r="J52" s="46"/>
      <c r="K52" s="46" t="s">
        <v>212</v>
      </c>
      <c r="L52" s="46">
        <v>0.99787828000000001</v>
      </c>
      <c r="M52" s="46">
        <v>1.98369065</v>
      </c>
      <c r="N52" s="46">
        <v>1.24042169</v>
      </c>
      <c r="V52" s="18"/>
      <c r="W52" s="18"/>
      <c r="X52" s="18"/>
      <c r="Y52" s="18"/>
      <c r="AA52" s="18"/>
      <c r="AB52" s="18"/>
      <c r="AC52" s="18"/>
      <c r="AF52" s="18"/>
      <c r="AG52" s="18"/>
      <c r="AH52" s="18"/>
    </row>
    <row r="53" spans="1:34" x14ac:dyDescent="0.35">
      <c r="A53" s="21" t="s">
        <v>173</v>
      </c>
      <c r="B53" s="46">
        <v>46.48704592</v>
      </c>
      <c r="C53" s="46">
        <v>49.193165180000094</v>
      </c>
      <c r="D53" s="46">
        <v>36.562698090000005</v>
      </c>
      <c r="E53" s="174"/>
      <c r="F53" s="46" t="s">
        <v>113</v>
      </c>
      <c r="G53" s="46">
        <v>5.4583180899999997</v>
      </c>
      <c r="H53" s="46">
        <v>2.5823242200000003</v>
      </c>
      <c r="I53" s="46">
        <v>10.04509803</v>
      </c>
      <c r="J53" s="46"/>
      <c r="K53" s="46" t="s">
        <v>119</v>
      </c>
      <c r="L53" s="46">
        <v>8.9767059999999996E-2</v>
      </c>
      <c r="M53" s="46">
        <v>0.16465203</v>
      </c>
      <c r="N53" s="46">
        <v>1.1430348600000002</v>
      </c>
      <c r="V53" s="18"/>
      <c r="W53" s="18"/>
      <c r="X53" s="18"/>
      <c r="Y53" s="18"/>
      <c r="AA53" s="18"/>
      <c r="AB53" s="18"/>
      <c r="AC53" s="18"/>
      <c r="AF53" s="18"/>
      <c r="AG53" s="18"/>
      <c r="AH53" s="18"/>
    </row>
    <row r="54" spans="1:34" x14ac:dyDescent="0.35">
      <c r="A54" s="21" t="s">
        <v>165</v>
      </c>
      <c r="B54" s="46">
        <v>42.623358619999998</v>
      </c>
      <c r="C54" s="46">
        <v>32.808113069999997</v>
      </c>
      <c r="D54" s="46">
        <v>36.450076789999997</v>
      </c>
      <c r="E54" s="174"/>
      <c r="F54" s="46" t="s">
        <v>171</v>
      </c>
      <c r="G54" s="46">
        <v>11.54483237</v>
      </c>
      <c r="H54" s="46">
        <v>21.709572300000001</v>
      </c>
      <c r="I54" s="46">
        <v>9.4134198199999997</v>
      </c>
      <c r="J54" s="46"/>
      <c r="K54" s="46" t="s">
        <v>127</v>
      </c>
      <c r="L54" s="46">
        <v>0.47358976000000003</v>
      </c>
      <c r="M54" s="46">
        <v>0.23455555</v>
      </c>
      <c r="N54" s="46">
        <v>1.10019405</v>
      </c>
      <c r="V54" s="18"/>
      <c r="W54" s="18"/>
      <c r="X54" s="18"/>
      <c r="Y54" s="18"/>
      <c r="AA54" s="18"/>
      <c r="AB54" s="18"/>
      <c r="AC54" s="18"/>
      <c r="AF54" s="18"/>
      <c r="AG54" s="18"/>
      <c r="AH54" s="18"/>
    </row>
    <row r="55" spans="1:34" x14ac:dyDescent="0.35">
      <c r="A55" s="21" t="s">
        <v>22</v>
      </c>
      <c r="B55" s="46">
        <v>27.26885244</v>
      </c>
      <c r="C55" s="46">
        <v>30.289721480000001</v>
      </c>
      <c r="D55" s="46">
        <v>35.942279799999994</v>
      </c>
      <c r="E55" s="174"/>
      <c r="F55" s="46" t="s">
        <v>157</v>
      </c>
      <c r="G55" s="46">
        <v>34.493470259999995</v>
      </c>
      <c r="H55" s="46">
        <v>13.64536223</v>
      </c>
      <c r="I55" s="46">
        <v>9.0041383100000001</v>
      </c>
      <c r="J55" s="46"/>
      <c r="K55" s="46" t="s">
        <v>159</v>
      </c>
      <c r="L55" s="46">
        <v>1.02422302</v>
      </c>
      <c r="M55" s="46">
        <v>2.7418757899999999</v>
      </c>
      <c r="N55" s="46">
        <v>1.0977735399999999</v>
      </c>
      <c r="V55" s="18"/>
      <c r="W55" s="18"/>
      <c r="X55" s="18"/>
      <c r="Y55" s="18"/>
      <c r="AA55" s="18"/>
      <c r="AB55" s="18"/>
      <c r="AC55" s="18"/>
      <c r="AF55" s="18"/>
      <c r="AG55" s="18"/>
      <c r="AH55" s="18"/>
    </row>
    <row r="56" spans="1:34" x14ac:dyDescent="0.35">
      <c r="A56" s="21" t="s">
        <v>131</v>
      </c>
      <c r="B56" s="46">
        <v>22.789310829999998</v>
      </c>
      <c r="C56" s="46">
        <v>34.630203520000002</v>
      </c>
      <c r="D56" s="46">
        <v>33.967472969999996</v>
      </c>
      <c r="E56" s="174"/>
      <c r="F56" s="46" t="s">
        <v>164</v>
      </c>
      <c r="G56" s="46">
        <v>8.4645144900000009</v>
      </c>
      <c r="H56" s="46">
        <v>2.0840419699999999</v>
      </c>
      <c r="I56" s="46">
        <v>8.8533449600000012</v>
      </c>
      <c r="J56" s="46"/>
      <c r="K56" s="46" t="s">
        <v>167</v>
      </c>
      <c r="L56" s="46">
        <v>4.4302885099999996</v>
      </c>
      <c r="M56" s="46">
        <v>3.3161102499999999</v>
      </c>
      <c r="N56" s="46">
        <v>1.00043642</v>
      </c>
      <c r="V56" s="18"/>
      <c r="W56" s="18"/>
      <c r="X56" s="18"/>
      <c r="Y56" s="18"/>
      <c r="AA56" s="18"/>
      <c r="AB56" s="18"/>
      <c r="AC56" s="18"/>
      <c r="AF56" s="18"/>
      <c r="AG56" s="18"/>
      <c r="AH56" s="18"/>
    </row>
    <row r="57" spans="1:34" x14ac:dyDescent="0.35">
      <c r="A57" s="21" t="s">
        <v>20</v>
      </c>
      <c r="B57" s="46">
        <v>33.594504290000103</v>
      </c>
      <c r="C57" s="46">
        <v>34.410379470000002</v>
      </c>
      <c r="D57" s="46">
        <v>33.9405705</v>
      </c>
      <c r="E57" s="174"/>
      <c r="F57" s="46" t="s">
        <v>127</v>
      </c>
      <c r="G57" s="46">
        <v>164.52008875999999</v>
      </c>
      <c r="H57" s="46">
        <v>12.589183199999999</v>
      </c>
      <c r="I57" s="46">
        <v>8.780485259999999</v>
      </c>
      <c r="J57" s="46"/>
      <c r="K57" s="46" t="s">
        <v>165</v>
      </c>
      <c r="L57" s="46">
        <v>0.74721314000000005</v>
      </c>
      <c r="M57" s="46">
        <v>7.721692</v>
      </c>
      <c r="N57" s="46">
        <v>0.91541943999999997</v>
      </c>
      <c r="V57" s="18"/>
      <c r="W57" s="18"/>
      <c r="X57" s="18"/>
      <c r="Y57" s="18"/>
      <c r="AA57" s="18"/>
      <c r="AB57" s="18"/>
      <c r="AC57" s="18"/>
      <c r="AF57" s="18"/>
      <c r="AG57" s="18"/>
      <c r="AH57" s="18"/>
    </row>
    <row r="58" spans="1:34" x14ac:dyDescent="0.35">
      <c r="A58" s="21" t="s">
        <v>16</v>
      </c>
      <c r="B58" s="46">
        <v>44.357912430000098</v>
      </c>
      <c r="C58" s="46">
        <v>30.4771762300002</v>
      </c>
      <c r="D58" s="46">
        <v>33.540954380000102</v>
      </c>
      <c r="E58" s="174"/>
      <c r="F58" s="46" t="s">
        <v>89</v>
      </c>
      <c r="G58" s="46">
        <v>0.75236797999999994</v>
      </c>
      <c r="H58" s="46">
        <v>2.2316531800000003</v>
      </c>
      <c r="I58" s="46">
        <v>8.5635043499999988</v>
      </c>
      <c r="J58" s="46"/>
      <c r="K58" s="46" t="s">
        <v>156</v>
      </c>
      <c r="L58" s="46">
        <v>0.62454016000000001</v>
      </c>
      <c r="M58" s="46">
        <v>2.8342122200000004</v>
      </c>
      <c r="N58" s="46">
        <v>0.87194579999999999</v>
      </c>
      <c r="V58" s="18"/>
      <c r="W58" s="18"/>
      <c r="X58" s="18"/>
      <c r="Y58" s="18"/>
      <c r="AA58" s="18"/>
      <c r="AB58" s="18"/>
      <c r="AC58" s="18"/>
      <c r="AF58" s="18"/>
      <c r="AG58" s="18"/>
      <c r="AH58" s="18"/>
    </row>
    <row r="59" spans="1:34" x14ac:dyDescent="0.35">
      <c r="A59" s="21" t="s">
        <v>127</v>
      </c>
      <c r="B59" s="46">
        <v>42.429491479999996</v>
      </c>
      <c r="C59" s="46">
        <v>31.394221980000001</v>
      </c>
      <c r="D59" s="46">
        <v>33.458097090000003</v>
      </c>
      <c r="E59" s="174"/>
      <c r="F59" s="46" t="s">
        <v>135</v>
      </c>
      <c r="G59" s="46">
        <v>33.143478090000002</v>
      </c>
      <c r="H59" s="46">
        <v>6.8208701500000002</v>
      </c>
      <c r="I59" s="46">
        <v>8.1480973599999995</v>
      </c>
      <c r="J59" s="46"/>
      <c r="K59" s="46" t="s">
        <v>201</v>
      </c>
      <c r="L59" s="46">
        <v>0.55847272999999997</v>
      </c>
      <c r="M59" s="46">
        <v>0.36240103999999995</v>
      </c>
      <c r="N59" s="46">
        <v>0.62037487999999996</v>
      </c>
      <c r="V59" s="18"/>
      <c r="W59" s="18"/>
      <c r="X59" s="18"/>
      <c r="Y59" s="18"/>
      <c r="AA59" s="18"/>
      <c r="AB59" s="18"/>
      <c r="AC59" s="18"/>
      <c r="AF59" s="18"/>
      <c r="AG59" s="18"/>
      <c r="AH59" s="18"/>
    </row>
    <row r="60" spans="1:34" x14ac:dyDescent="0.35">
      <c r="A60" s="21" t="s">
        <v>191</v>
      </c>
      <c r="B60" s="46">
        <v>31.400274750000001</v>
      </c>
      <c r="C60" s="46">
        <v>56.391722620000102</v>
      </c>
      <c r="D60" s="46">
        <v>32.741298219999997</v>
      </c>
      <c r="E60" s="174"/>
      <c r="F60" s="46" t="s">
        <v>152</v>
      </c>
      <c r="G60" s="46">
        <v>1.6859691000000001</v>
      </c>
      <c r="H60" s="46">
        <v>0.16221185000000002</v>
      </c>
      <c r="I60" s="46">
        <v>7.9663426399999997</v>
      </c>
      <c r="J60" s="46"/>
      <c r="K60" s="46" t="s">
        <v>83</v>
      </c>
      <c r="L60" s="46">
        <v>0.82557899999999995</v>
      </c>
      <c r="M60" s="46">
        <v>0.64239250999999997</v>
      </c>
      <c r="N60" s="46">
        <v>0.58786194999999997</v>
      </c>
      <c r="V60" s="18"/>
      <c r="W60" s="18"/>
      <c r="X60" s="18"/>
      <c r="Y60" s="18"/>
      <c r="AA60" s="18"/>
      <c r="AB60" s="18"/>
      <c r="AC60" s="18"/>
      <c r="AF60" s="18"/>
      <c r="AG60" s="18"/>
      <c r="AH60" s="18"/>
    </row>
    <row r="61" spans="1:34" x14ac:dyDescent="0.35">
      <c r="A61" s="21" t="s">
        <v>381</v>
      </c>
      <c r="B61" s="46">
        <v>17.159597000000002</v>
      </c>
      <c r="C61" s="46">
        <v>23.616412149999999</v>
      </c>
      <c r="D61" s="46">
        <v>32.004831629999998</v>
      </c>
      <c r="E61" s="174"/>
      <c r="F61" s="46" t="s">
        <v>208</v>
      </c>
      <c r="G61" s="46">
        <v>6.99939921</v>
      </c>
      <c r="H61" s="46">
        <v>10.787491920000001</v>
      </c>
      <c r="I61" s="46">
        <v>7.2432364099999997</v>
      </c>
      <c r="J61" s="46"/>
      <c r="K61" s="46" t="s">
        <v>197</v>
      </c>
      <c r="L61" s="46">
        <v>0.18794031999999999</v>
      </c>
      <c r="M61" s="46">
        <v>0.30000190999999998</v>
      </c>
      <c r="N61" s="46">
        <v>0.55320881000000011</v>
      </c>
      <c r="V61" s="18"/>
      <c r="W61" s="18"/>
      <c r="X61" s="18"/>
      <c r="Y61" s="18"/>
      <c r="AA61" s="18"/>
      <c r="AB61" s="18"/>
      <c r="AC61" s="18"/>
      <c r="AF61" s="18"/>
      <c r="AG61" s="18"/>
      <c r="AH61" s="18"/>
    </row>
    <row r="62" spans="1:34" x14ac:dyDescent="0.35">
      <c r="A62" s="21" t="s">
        <v>31</v>
      </c>
      <c r="B62" s="46">
        <v>34.829821750000001</v>
      </c>
      <c r="C62" s="46">
        <v>53.205674639999998</v>
      </c>
      <c r="D62" s="46">
        <v>31.491265250000001</v>
      </c>
      <c r="E62" s="174"/>
      <c r="F62" s="46" t="s">
        <v>206</v>
      </c>
      <c r="G62" s="46">
        <v>2.43823612</v>
      </c>
      <c r="H62" s="46">
        <v>1.8894098000000001</v>
      </c>
      <c r="I62" s="46">
        <v>6.6985549299999994</v>
      </c>
      <c r="J62" s="46"/>
      <c r="K62" s="46" t="s">
        <v>198</v>
      </c>
      <c r="L62" s="46">
        <v>0.50967304999999996</v>
      </c>
      <c r="M62" s="46">
        <v>0.34111092999999998</v>
      </c>
      <c r="N62" s="46">
        <v>0.53945748999999998</v>
      </c>
      <c r="V62" s="18"/>
      <c r="W62" s="18"/>
      <c r="X62" s="18"/>
      <c r="Y62" s="18"/>
      <c r="AA62" s="18"/>
      <c r="AB62" s="18"/>
      <c r="AC62" s="18"/>
      <c r="AF62" s="18"/>
      <c r="AG62" s="18"/>
      <c r="AH62" s="18"/>
    </row>
    <row r="63" spans="1:34" x14ac:dyDescent="0.35">
      <c r="A63" s="21" t="s">
        <v>48</v>
      </c>
      <c r="B63" s="46">
        <v>7.8066667199999999</v>
      </c>
      <c r="C63" s="46">
        <v>4.9551028099999996</v>
      </c>
      <c r="D63" s="46">
        <v>31.3573843</v>
      </c>
      <c r="E63" s="174"/>
      <c r="F63" s="46" t="s">
        <v>134</v>
      </c>
      <c r="G63" s="46">
        <v>11.97562664</v>
      </c>
      <c r="H63" s="46">
        <v>2.7764283299999999</v>
      </c>
      <c r="I63" s="46">
        <v>6.6903013899999992</v>
      </c>
      <c r="J63" s="46"/>
      <c r="K63" s="46" t="s">
        <v>58</v>
      </c>
      <c r="L63" s="46">
        <v>0.22365135</v>
      </c>
      <c r="M63" s="46">
        <v>1.9119646499999998</v>
      </c>
      <c r="N63" s="46">
        <v>0.52734738000000003</v>
      </c>
      <c r="V63" s="18"/>
      <c r="W63" s="18"/>
      <c r="X63" s="18"/>
      <c r="Y63" s="18"/>
      <c r="AA63" s="18"/>
      <c r="AB63" s="18"/>
      <c r="AC63" s="18"/>
      <c r="AF63" s="18"/>
      <c r="AG63" s="18"/>
      <c r="AH63" s="18"/>
    </row>
    <row r="64" spans="1:34" x14ac:dyDescent="0.35">
      <c r="A64" s="21" t="s">
        <v>85</v>
      </c>
      <c r="B64" s="46">
        <v>56.395276500000001</v>
      </c>
      <c r="C64" s="46">
        <v>72.357256290000095</v>
      </c>
      <c r="D64" s="46">
        <v>29.570252539999998</v>
      </c>
      <c r="E64" s="174"/>
      <c r="F64" s="46" t="s">
        <v>100</v>
      </c>
      <c r="G64" s="46">
        <v>28.20068032</v>
      </c>
      <c r="H64" s="46">
        <v>3.9937497299999998</v>
      </c>
      <c r="I64" s="46">
        <v>6.6447649400000008</v>
      </c>
      <c r="J64" s="46"/>
      <c r="K64" s="46" t="s">
        <v>143</v>
      </c>
      <c r="L64" s="46">
        <v>1.1380347800000001</v>
      </c>
      <c r="M64" s="46">
        <v>0.17807220000000001</v>
      </c>
      <c r="N64" s="46">
        <v>0.49462295000000001</v>
      </c>
      <c r="V64" s="18"/>
      <c r="W64" s="18"/>
      <c r="X64" s="18"/>
      <c r="Y64" s="18"/>
      <c r="AA64" s="18"/>
      <c r="AB64" s="18"/>
      <c r="AC64" s="18"/>
      <c r="AF64" s="18"/>
      <c r="AG64" s="18"/>
      <c r="AH64" s="18"/>
    </row>
    <row r="65" spans="1:34" x14ac:dyDescent="0.35">
      <c r="A65" s="21" t="s">
        <v>102</v>
      </c>
      <c r="B65" s="46">
        <v>16.76815135</v>
      </c>
      <c r="C65" s="46">
        <v>23.299305620000002</v>
      </c>
      <c r="D65" s="46">
        <v>29.19613957</v>
      </c>
      <c r="E65" s="174"/>
      <c r="F65" s="46" t="s">
        <v>357</v>
      </c>
      <c r="G65" s="46">
        <v>2.98303575</v>
      </c>
      <c r="H65" s="46">
        <v>0.52099205999999998</v>
      </c>
      <c r="I65" s="46">
        <v>6.6348736399999995</v>
      </c>
      <c r="J65" s="46"/>
      <c r="K65" s="46" t="s">
        <v>210</v>
      </c>
      <c r="L65" s="46">
        <v>0.50212445000000006</v>
      </c>
      <c r="M65" s="46">
        <v>0.81744679000000009</v>
      </c>
      <c r="N65" s="46">
        <v>0.48533163000000001</v>
      </c>
      <c r="V65" s="18"/>
      <c r="W65" s="18"/>
      <c r="X65" s="18"/>
      <c r="Y65" s="18"/>
      <c r="AA65" s="18"/>
      <c r="AB65" s="18"/>
      <c r="AC65" s="18"/>
      <c r="AF65" s="18"/>
      <c r="AG65" s="18"/>
      <c r="AH65" s="18"/>
    </row>
    <row r="66" spans="1:34" x14ac:dyDescent="0.35">
      <c r="A66" s="21" t="s">
        <v>177</v>
      </c>
      <c r="B66" s="46">
        <v>8.0956731800000004</v>
      </c>
      <c r="C66" s="46">
        <v>7.8958413700000003</v>
      </c>
      <c r="D66" s="46">
        <v>28.783383530000002</v>
      </c>
      <c r="E66" s="174"/>
      <c r="F66" s="46" t="s">
        <v>90</v>
      </c>
      <c r="G66" s="46">
        <v>4.3029352999999997</v>
      </c>
      <c r="H66" s="46">
        <v>3.9735782999999998</v>
      </c>
      <c r="I66" s="46">
        <v>6.5737306200000001</v>
      </c>
      <c r="J66" s="46"/>
      <c r="K66" s="46" t="s">
        <v>170</v>
      </c>
      <c r="L66" s="46">
        <v>0.20537939000000002</v>
      </c>
      <c r="M66" s="46">
        <v>0.23532879999999998</v>
      </c>
      <c r="N66" s="46">
        <v>0.46985028000000001</v>
      </c>
      <c r="V66" s="18"/>
      <c r="W66" s="18"/>
      <c r="X66" s="18"/>
      <c r="Y66" s="18"/>
      <c r="AA66" s="18"/>
      <c r="AB66" s="18"/>
      <c r="AC66" s="18"/>
      <c r="AF66" s="18"/>
      <c r="AG66" s="18"/>
      <c r="AH66" s="18"/>
    </row>
    <row r="67" spans="1:34" x14ac:dyDescent="0.35">
      <c r="A67" s="21" t="s">
        <v>76</v>
      </c>
      <c r="B67" s="46">
        <v>34.35543491</v>
      </c>
      <c r="C67" s="46">
        <v>34.50390728</v>
      </c>
      <c r="D67" s="46">
        <v>27.78863707</v>
      </c>
      <c r="E67" s="174"/>
      <c r="F67" s="46" t="s">
        <v>28</v>
      </c>
      <c r="G67" s="46">
        <v>3.4933811400000003</v>
      </c>
      <c r="H67" s="46">
        <v>3.7393764900000002</v>
      </c>
      <c r="I67" s="46">
        <v>6.4678782300000002</v>
      </c>
      <c r="J67" s="46"/>
      <c r="K67" s="46" t="s">
        <v>199</v>
      </c>
      <c r="L67" s="46">
        <v>1.1641451899999999</v>
      </c>
      <c r="M67" s="46">
        <v>0.22810135000000001</v>
      </c>
      <c r="N67" s="46">
        <v>0.46384415999999995</v>
      </c>
      <c r="V67" s="18"/>
      <c r="W67" s="18"/>
      <c r="X67" s="18"/>
      <c r="Y67" s="18"/>
      <c r="AA67" s="18"/>
      <c r="AB67" s="18"/>
      <c r="AC67" s="18"/>
      <c r="AF67" s="18"/>
      <c r="AG67" s="18"/>
      <c r="AH67" s="18"/>
    </row>
    <row r="68" spans="1:34" x14ac:dyDescent="0.35">
      <c r="A68" s="21" t="s">
        <v>119</v>
      </c>
      <c r="B68" s="46">
        <v>38.583201789999997</v>
      </c>
      <c r="C68" s="46">
        <v>61.410525109999902</v>
      </c>
      <c r="D68" s="46">
        <v>27.635131559999998</v>
      </c>
      <c r="E68" s="174"/>
      <c r="F68" s="46" t="s">
        <v>102</v>
      </c>
      <c r="G68" s="46">
        <v>15.471764</v>
      </c>
      <c r="H68" s="46">
        <v>2.4359783699999999</v>
      </c>
      <c r="I68" s="46">
        <v>6.3321039900000002</v>
      </c>
      <c r="J68" s="46"/>
      <c r="K68" s="46" t="s">
        <v>356</v>
      </c>
      <c r="L68" s="46">
        <v>3.7562446400000002</v>
      </c>
      <c r="M68" s="46">
        <v>0.11368926</v>
      </c>
      <c r="N68" s="46">
        <v>0.45813450999999999</v>
      </c>
      <c r="V68" s="18"/>
      <c r="W68" s="18"/>
      <c r="X68" s="18"/>
      <c r="Y68" s="18"/>
      <c r="AA68" s="18"/>
      <c r="AB68" s="18"/>
      <c r="AC68" s="18"/>
      <c r="AF68" s="18"/>
      <c r="AG68" s="18"/>
      <c r="AH68" s="18"/>
    </row>
    <row r="69" spans="1:34" x14ac:dyDescent="0.35">
      <c r="A69" s="21" t="s">
        <v>135</v>
      </c>
      <c r="B69" s="46">
        <v>26.056575949999999</v>
      </c>
      <c r="C69" s="46">
        <v>24.992908879999899</v>
      </c>
      <c r="D69" s="46">
        <v>27.565076449999999</v>
      </c>
      <c r="E69" s="174"/>
      <c r="F69" s="46" t="s">
        <v>92</v>
      </c>
      <c r="G69" s="46">
        <v>0.21646656</v>
      </c>
      <c r="H69" s="46">
        <v>5.2063539999999998E-2</v>
      </c>
      <c r="I69" s="46">
        <v>5.9993064</v>
      </c>
      <c r="J69" s="46"/>
      <c r="K69" s="46" t="s">
        <v>16</v>
      </c>
      <c r="L69" s="46">
        <v>1.0453E-4</v>
      </c>
      <c r="M69" s="46">
        <v>3.2075110000000004E-2</v>
      </c>
      <c r="N69" s="46">
        <v>0.45591828000000001</v>
      </c>
      <c r="V69" s="18"/>
      <c r="W69" s="18"/>
      <c r="X69" s="18"/>
      <c r="Y69" s="18"/>
      <c r="AA69" s="18"/>
      <c r="AB69" s="18"/>
      <c r="AC69" s="18"/>
      <c r="AF69" s="18"/>
      <c r="AG69" s="18"/>
      <c r="AH69" s="18"/>
    </row>
    <row r="70" spans="1:34" x14ac:dyDescent="0.35">
      <c r="A70" s="21" t="s">
        <v>156</v>
      </c>
      <c r="B70" s="46">
        <v>24.59111171</v>
      </c>
      <c r="C70" s="46">
        <v>30.716259260000001</v>
      </c>
      <c r="D70" s="46">
        <v>26.791414460000002</v>
      </c>
      <c r="E70" s="174"/>
      <c r="F70" s="46" t="s">
        <v>156</v>
      </c>
      <c r="G70" s="46">
        <v>22.096710170000001</v>
      </c>
      <c r="H70" s="46">
        <v>16.672705369999999</v>
      </c>
      <c r="I70" s="46">
        <v>5.6902804199999997</v>
      </c>
      <c r="J70" s="46"/>
      <c r="K70" s="46" t="s">
        <v>82</v>
      </c>
      <c r="L70" s="46">
        <v>4.2331199999999999E-3</v>
      </c>
      <c r="M70" s="46">
        <v>0.49644379999999999</v>
      </c>
      <c r="N70" s="46">
        <v>0.39057563000000001</v>
      </c>
      <c r="V70" s="18"/>
      <c r="W70" s="18"/>
      <c r="X70" s="18"/>
      <c r="Y70" s="18"/>
      <c r="AA70" s="18"/>
      <c r="AB70" s="18"/>
      <c r="AC70" s="18"/>
      <c r="AF70" s="18"/>
      <c r="AG70" s="18"/>
      <c r="AH70" s="18"/>
    </row>
    <row r="71" spans="1:34" x14ac:dyDescent="0.35">
      <c r="A71" s="21" t="s">
        <v>162</v>
      </c>
      <c r="B71" s="46">
        <v>24.501424460000003</v>
      </c>
      <c r="C71" s="46">
        <v>23.806929749999998</v>
      </c>
      <c r="D71" s="46">
        <v>26.650663850000001</v>
      </c>
      <c r="E71" s="174"/>
      <c r="F71" s="46" t="s">
        <v>198</v>
      </c>
      <c r="G71" s="46">
        <v>1.4431863200000001</v>
      </c>
      <c r="H71" s="46">
        <v>0.91509045999999994</v>
      </c>
      <c r="I71" s="46">
        <v>5.5302698099999992</v>
      </c>
      <c r="J71" s="46"/>
      <c r="K71" s="46" t="s">
        <v>8</v>
      </c>
      <c r="L71" s="46">
        <v>0.42030953999999998</v>
      </c>
      <c r="M71" s="46">
        <v>1.31910679</v>
      </c>
      <c r="N71" s="46">
        <v>0.32185609000000004</v>
      </c>
      <c r="V71" s="18"/>
      <c r="W71" s="18"/>
      <c r="X71" s="18"/>
      <c r="Y71" s="18"/>
      <c r="AA71" s="18"/>
      <c r="AB71" s="18"/>
      <c r="AC71" s="18"/>
      <c r="AF71" s="18"/>
      <c r="AG71" s="18"/>
      <c r="AH71" s="18"/>
    </row>
    <row r="72" spans="1:34" x14ac:dyDescent="0.35">
      <c r="A72" s="21" t="s">
        <v>58</v>
      </c>
      <c r="B72" s="46">
        <v>18.179331899999998</v>
      </c>
      <c r="C72" s="46">
        <v>13.72898125</v>
      </c>
      <c r="D72" s="46">
        <v>26.391742539999999</v>
      </c>
      <c r="E72" s="174"/>
      <c r="F72" s="46" t="s">
        <v>215</v>
      </c>
      <c r="G72" s="46">
        <v>7.0206015300000004</v>
      </c>
      <c r="H72" s="46">
        <v>8.1021673399999994</v>
      </c>
      <c r="I72" s="46">
        <v>5.4457235300000004</v>
      </c>
      <c r="J72" s="46"/>
      <c r="K72" s="46" t="s">
        <v>147</v>
      </c>
      <c r="L72" s="46">
        <v>2.5080930000000001E-2</v>
      </c>
      <c r="M72" s="46">
        <v>0.11014053</v>
      </c>
      <c r="N72" s="46">
        <v>0.31774422999999996</v>
      </c>
      <c r="V72" s="18"/>
      <c r="W72" s="18"/>
      <c r="X72" s="18"/>
      <c r="Y72" s="18"/>
      <c r="AA72" s="18"/>
      <c r="AB72" s="18"/>
      <c r="AC72" s="18"/>
      <c r="AF72" s="18"/>
      <c r="AG72" s="18"/>
      <c r="AH72" s="18"/>
    </row>
    <row r="73" spans="1:34" x14ac:dyDescent="0.35">
      <c r="A73" s="21" t="s">
        <v>134</v>
      </c>
      <c r="B73" s="46">
        <v>18.769834420000098</v>
      </c>
      <c r="C73" s="46">
        <v>20.4171662</v>
      </c>
      <c r="D73" s="46">
        <v>26.364422390000101</v>
      </c>
      <c r="E73" s="174"/>
      <c r="F73" s="46" t="s">
        <v>189</v>
      </c>
      <c r="G73" s="46">
        <v>12.55917185</v>
      </c>
      <c r="H73" s="46">
        <v>8.1801817599999911</v>
      </c>
      <c r="I73" s="46">
        <v>5.3943954199999995</v>
      </c>
      <c r="J73" s="46"/>
      <c r="K73" s="46" t="s">
        <v>192</v>
      </c>
      <c r="L73" s="46">
        <v>0.2069674</v>
      </c>
      <c r="M73" s="46">
        <v>0.32318758000000003</v>
      </c>
      <c r="N73" s="46">
        <v>0.30824326000000002</v>
      </c>
      <c r="V73" s="18"/>
      <c r="W73" s="18"/>
      <c r="X73" s="18"/>
      <c r="Y73" s="18"/>
      <c r="AA73" s="18"/>
      <c r="AB73" s="18"/>
      <c r="AC73" s="18"/>
      <c r="AF73" s="18"/>
      <c r="AG73" s="18"/>
      <c r="AH73" s="18"/>
    </row>
    <row r="74" spans="1:34" x14ac:dyDescent="0.35">
      <c r="A74" s="21" t="s">
        <v>94</v>
      </c>
      <c r="B74" s="46">
        <v>15.899689619999998</v>
      </c>
      <c r="C74" s="46">
        <v>25.056648160000002</v>
      </c>
      <c r="D74" s="46">
        <v>26.007272</v>
      </c>
      <c r="E74" s="174"/>
      <c r="F74" s="46" t="s">
        <v>381</v>
      </c>
      <c r="G74" s="46">
        <v>1.9740068200000001</v>
      </c>
      <c r="H74" s="46">
        <v>0</v>
      </c>
      <c r="I74" s="46">
        <v>5.06252207</v>
      </c>
      <c r="J74" s="46"/>
      <c r="K74" s="46" t="s">
        <v>90</v>
      </c>
      <c r="L74" s="46">
        <v>5.024083E-2</v>
      </c>
      <c r="M74" s="46">
        <v>3.1844020000000001E-2</v>
      </c>
      <c r="N74" s="46">
        <v>0.29476013000000001</v>
      </c>
      <c r="V74" s="18"/>
      <c r="W74" s="18"/>
      <c r="X74" s="18"/>
      <c r="Y74" s="18"/>
      <c r="AA74" s="18"/>
      <c r="AB74" s="18"/>
      <c r="AC74" s="18"/>
      <c r="AF74" s="18"/>
      <c r="AG74" s="18"/>
      <c r="AH74" s="18"/>
    </row>
    <row r="75" spans="1:34" x14ac:dyDescent="0.35">
      <c r="A75" s="21" t="s">
        <v>82</v>
      </c>
      <c r="B75" s="46">
        <v>30.48050327</v>
      </c>
      <c r="C75" s="46">
        <v>10.487207609999999</v>
      </c>
      <c r="D75" s="46">
        <v>25.875406999999999</v>
      </c>
      <c r="E75" s="174"/>
      <c r="F75" s="46" t="s">
        <v>112</v>
      </c>
      <c r="G75" s="46">
        <v>15.750734439999999</v>
      </c>
      <c r="H75" s="46">
        <v>5.1032073099999993</v>
      </c>
      <c r="I75" s="46">
        <v>4.6082794199999997</v>
      </c>
      <c r="J75" s="46"/>
      <c r="K75" s="46" t="s">
        <v>116</v>
      </c>
      <c r="L75" s="46">
        <v>0</v>
      </c>
      <c r="M75" s="46">
        <v>1.8437220000000001E-2</v>
      </c>
      <c r="N75" s="46">
        <v>0.27543115000000001</v>
      </c>
      <c r="V75" s="18"/>
      <c r="W75" s="18"/>
      <c r="X75" s="18"/>
      <c r="Y75" s="18"/>
      <c r="AA75" s="18"/>
      <c r="AB75" s="18"/>
      <c r="AC75" s="18"/>
      <c r="AF75" s="18"/>
      <c r="AG75" s="18"/>
      <c r="AH75" s="18"/>
    </row>
    <row r="76" spans="1:34" x14ac:dyDescent="0.35">
      <c r="A76" s="21" t="s">
        <v>182</v>
      </c>
      <c r="B76" s="46">
        <v>27.199953109999999</v>
      </c>
      <c r="C76" s="46">
        <v>33.701661080000001</v>
      </c>
      <c r="D76" s="46">
        <v>25.71500279</v>
      </c>
      <c r="E76" s="174"/>
      <c r="F76" s="46" t="s">
        <v>202</v>
      </c>
      <c r="G76" s="46">
        <v>26.164736909999998</v>
      </c>
      <c r="H76" s="46">
        <v>3.7520200499999996</v>
      </c>
      <c r="I76" s="46">
        <v>4.2276677400000002</v>
      </c>
      <c r="J76" s="46"/>
      <c r="K76" s="46" t="s">
        <v>190</v>
      </c>
      <c r="L76" s="46">
        <v>0.71978964000000001</v>
      </c>
      <c r="M76" s="46">
        <v>0.59012798</v>
      </c>
      <c r="N76" s="46">
        <v>0.27305583</v>
      </c>
      <c r="V76" s="18"/>
      <c r="W76" s="18"/>
      <c r="X76" s="18"/>
      <c r="Y76" s="18"/>
      <c r="AA76" s="18"/>
      <c r="AB76" s="18"/>
      <c r="AC76" s="18"/>
      <c r="AF76" s="18"/>
      <c r="AG76" s="18"/>
      <c r="AH76" s="18"/>
    </row>
    <row r="77" spans="1:34" x14ac:dyDescent="0.35">
      <c r="A77" s="21" t="s">
        <v>24</v>
      </c>
      <c r="B77" s="46">
        <v>22.982869910000002</v>
      </c>
      <c r="C77" s="46">
        <v>19.285554319999999</v>
      </c>
      <c r="D77" s="46">
        <v>23.65635983</v>
      </c>
      <c r="E77" s="174"/>
      <c r="F77" s="46" t="s">
        <v>22</v>
      </c>
      <c r="G77" s="46">
        <v>1.66038625</v>
      </c>
      <c r="H77" s="46">
        <v>3.6179131899999999</v>
      </c>
      <c r="I77" s="46">
        <v>3.9225306299999998</v>
      </c>
      <c r="J77" s="46"/>
      <c r="K77" s="46" t="s">
        <v>133</v>
      </c>
      <c r="L77" s="46">
        <v>0.88078932999999993</v>
      </c>
      <c r="M77" s="46">
        <v>8.7282240000000011E-2</v>
      </c>
      <c r="N77" s="46">
        <v>0.27209662000000001</v>
      </c>
      <c r="V77" s="18"/>
      <c r="W77" s="18"/>
      <c r="X77" s="18"/>
      <c r="Y77" s="18"/>
      <c r="AA77" s="18"/>
      <c r="AB77" s="18"/>
      <c r="AC77" s="18"/>
      <c r="AF77" s="18"/>
      <c r="AG77" s="18"/>
      <c r="AH77" s="18"/>
    </row>
    <row r="78" spans="1:34" x14ac:dyDescent="0.35">
      <c r="A78" s="21" t="s">
        <v>74</v>
      </c>
      <c r="B78" s="46">
        <v>19.43411875</v>
      </c>
      <c r="C78" s="46">
        <v>26.81204352</v>
      </c>
      <c r="D78" s="46">
        <v>23.444368530000002</v>
      </c>
      <c r="E78" s="174"/>
      <c r="F78" s="46" t="s">
        <v>145</v>
      </c>
      <c r="G78" s="46">
        <v>0.99369031000000008</v>
      </c>
      <c r="H78" s="46">
        <v>18.078378260000001</v>
      </c>
      <c r="I78" s="46">
        <v>3.75028994</v>
      </c>
      <c r="J78" s="46"/>
      <c r="K78" s="46" t="s">
        <v>176</v>
      </c>
      <c r="L78" s="46">
        <v>0.18184549</v>
      </c>
      <c r="M78" s="46">
        <v>0.28862259000000001</v>
      </c>
      <c r="N78" s="46">
        <v>0.26396524999999998</v>
      </c>
      <c r="V78" s="18"/>
      <c r="W78" s="18"/>
      <c r="X78" s="18"/>
      <c r="Y78" s="18"/>
      <c r="AA78" s="18"/>
      <c r="AB78" s="18"/>
      <c r="AC78" s="18"/>
      <c r="AF78" s="18"/>
      <c r="AG78" s="18"/>
      <c r="AH78" s="18"/>
    </row>
    <row r="79" spans="1:34" x14ac:dyDescent="0.35">
      <c r="A79" s="21" t="s">
        <v>168</v>
      </c>
      <c r="B79" s="46">
        <v>14.32779041</v>
      </c>
      <c r="C79" s="46">
        <v>13.333221330000001</v>
      </c>
      <c r="D79" s="46">
        <v>22.444039750000002</v>
      </c>
      <c r="E79" s="174"/>
      <c r="F79" s="46" t="s">
        <v>58</v>
      </c>
      <c r="G79" s="46">
        <v>8.1091600000000007E-3</v>
      </c>
      <c r="H79" s="46">
        <v>0</v>
      </c>
      <c r="I79" s="46">
        <v>3.5719907100000001</v>
      </c>
      <c r="J79" s="46"/>
      <c r="K79" s="46" t="s">
        <v>117</v>
      </c>
      <c r="L79" s="46">
        <v>0.22395758999999998</v>
      </c>
      <c r="M79" s="46">
        <v>0.74278993000000004</v>
      </c>
      <c r="N79" s="46">
        <v>0.23538636999999998</v>
      </c>
      <c r="V79" s="18"/>
      <c r="W79" s="18"/>
      <c r="X79" s="18"/>
      <c r="Y79" s="18"/>
      <c r="AA79" s="18"/>
      <c r="AB79" s="18"/>
      <c r="AC79" s="18"/>
      <c r="AF79" s="18"/>
      <c r="AG79" s="18"/>
      <c r="AH79" s="18"/>
    </row>
    <row r="80" spans="1:34" x14ac:dyDescent="0.35">
      <c r="A80" s="21" t="s">
        <v>26</v>
      </c>
      <c r="B80" s="46">
        <v>21.736809010000002</v>
      </c>
      <c r="C80" s="46">
        <v>17.117088389999999</v>
      </c>
      <c r="D80" s="46">
        <v>22.103218980000001</v>
      </c>
      <c r="E80" s="174"/>
      <c r="F80" s="46" t="s">
        <v>10</v>
      </c>
      <c r="G80" s="46">
        <v>6.1392413699999997</v>
      </c>
      <c r="H80" s="46">
        <v>2.7531360000000001E-2</v>
      </c>
      <c r="I80" s="46">
        <v>3.55435978</v>
      </c>
      <c r="J80" s="46"/>
      <c r="K80" s="46" t="s">
        <v>79</v>
      </c>
      <c r="L80" s="46">
        <v>0.19851416</v>
      </c>
      <c r="M80" s="46">
        <v>0.12774309</v>
      </c>
      <c r="N80" s="46">
        <v>0.22540623000000001</v>
      </c>
      <c r="V80" s="18"/>
      <c r="W80" s="18"/>
      <c r="X80" s="18"/>
      <c r="Y80" s="18"/>
      <c r="AA80" s="18"/>
      <c r="AB80" s="18"/>
      <c r="AC80" s="18"/>
      <c r="AF80" s="18"/>
      <c r="AG80" s="18"/>
      <c r="AH80" s="18"/>
    </row>
    <row r="81" spans="1:34" x14ac:dyDescent="0.35">
      <c r="A81" s="21" t="s">
        <v>79</v>
      </c>
      <c r="B81" s="46">
        <v>20.586187010000003</v>
      </c>
      <c r="C81" s="46">
        <v>25.872681670000002</v>
      </c>
      <c r="D81" s="46">
        <v>21.759756800000002</v>
      </c>
      <c r="E81" s="174"/>
      <c r="F81" s="46" t="s">
        <v>176</v>
      </c>
      <c r="G81" s="46">
        <v>2.6534342200000003</v>
      </c>
      <c r="H81" s="46">
        <v>0.65168230000000005</v>
      </c>
      <c r="I81" s="46">
        <v>3.4627523600000001</v>
      </c>
      <c r="J81" s="46"/>
      <c r="K81" s="46" t="s">
        <v>154</v>
      </c>
      <c r="L81" s="46">
        <v>7.7131329999999998E-2</v>
      </c>
      <c r="M81" s="46">
        <v>0.27599449999999998</v>
      </c>
      <c r="N81" s="46">
        <v>0.22508060000000002</v>
      </c>
      <c r="V81" s="18"/>
      <c r="W81" s="18"/>
      <c r="X81" s="18"/>
      <c r="Y81" s="18"/>
      <c r="AA81" s="18"/>
      <c r="AB81" s="18"/>
      <c r="AC81" s="18"/>
      <c r="AF81" s="18"/>
      <c r="AG81" s="18"/>
      <c r="AH81" s="18"/>
    </row>
    <row r="82" spans="1:34" x14ac:dyDescent="0.35">
      <c r="A82" s="21" t="s">
        <v>89</v>
      </c>
      <c r="B82" s="46">
        <v>29.4453855</v>
      </c>
      <c r="C82" s="46">
        <v>20.056329309999999</v>
      </c>
      <c r="D82" s="46">
        <v>21.201905240000098</v>
      </c>
      <c r="E82" s="174"/>
      <c r="F82" s="46" t="s">
        <v>133</v>
      </c>
      <c r="G82" s="46">
        <v>13.28032035</v>
      </c>
      <c r="H82" s="46">
        <v>3.2321369600000001</v>
      </c>
      <c r="I82" s="46">
        <v>3.4189748600000001</v>
      </c>
      <c r="J82" s="46"/>
      <c r="K82" s="46" t="s">
        <v>203</v>
      </c>
      <c r="L82" s="46">
        <v>0</v>
      </c>
      <c r="M82" s="46">
        <v>5.4583000000000008E-4</v>
      </c>
      <c r="N82" s="46">
        <v>0.22116885</v>
      </c>
      <c r="V82" s="18"/>
      <c r="W82" s="18"/>
      <c r="X82" s="18"/>
      <c r="Y82" s="18"/>
      <c r="AA82" s="18"/>
      <c r="AB82" s="18"/>
      <c r="AC82" s="18"/>
      <c r="AF82" s="18"/>
      <c r="AG82" s="18"/>
      <c r="AH82" s="18"/>
    </row>
    <row r="83" spans="1:34" x14ac:dyDescent="0.35">
      <c r="A83" s="21" t="s">
        <v>207</v>
      </c>
      <c r="B83" s="46">
        <v>23.400921530000002</v>
      </c>
      <c r="C83" s="46">
        <v>32.849828249999902</v>
      </c>
      <c r="D83" s="46">
        <v>21.192036729999899</v>
      </c>
      <c r="E83" s="174"/>
      <c r="F83" s="46" t="s">
        <v>117</v>
      </c>
      <c r="G83" s="46">
        <v>8.29578566</v>
      </c>
      <c r="H83" s="46">
        <v>3.5561072599999997</v>
      </c>
      <c r="I83" s="46">
        <v>3.3149380099999997</v>
      </c>
      <c r="J83" s="46"/>
      <c r="K83" s="46" t="s">
        <v>189</v>
      </c>
      <c r="L83" s="46">
        <v>5.7344890000000003E-2</v>
      </c>
      <c r="M83" s="46">
        <v>0.23419161999999999</v>
      </c>
      <c r="N83" s="46">
        <v>0.21195667999999998</v>
      </c>
      <c r="V83" s="18"/>
      <c r="W83" s="18"/>
      <c r="X83" s="18"/>
      <c r="Y83" s="18"/>
      <c r="AA83" s="18"/>
      <c r="AB83" s="18"/>
      <c r="AC83" s="18"/>
      <c r="AF83" s="18"/>
      <c r="AG83" s="18"/>
      <c r="AH83" s="18"/>
    </row>
    <row r="84" spans="1:34" x14ac:dyDescent="0.35">
      <c r="A84" s="21" t="s">
        <v>194</v>
      </c>
      <c r="B84" s="46">
        <v>23.156544050000001</v>
      </c>
      <c r="C84" s="46">
        <v>19.35258687</v>
      </c>
      <c r="D84" s="46">
        <v>20.667589829999997</v>
      </c>
      <c r="E84" s="174"/>
      <c r="F84" s="46" t="s">
        <v>116</v>
      </c>
      <c r="G84" s="46">
        <v>3.7131657100000002</v>
      </c>
      <c r="H84" s="46">
        <v>3.96856031</v>
      </c>
      <c r="I84" s="46">
        <v>3.2652321800000004</v>
      </c>
      <c r="J84" s="46"/>
      <c r="K84" s="46" t="s">
        <v>28</v>
      </c>
      <c r="L84" s="46">
        <v>0.23351668</v>
      </c>
      <c r="M84" s="46">
        <v>0.78753566000000008</v>
      </c>
      <c r="N84" s="46">
        <v>0.19894795000000001</v>
      </c>
      <c r="V84" s="18"/>
      <c r="W84" s="18"/>
      <c r="X84" s="18"/>
      <c r="Y84" s="18"/>
      <c r="AA84" s="18"/>
      <c r="AB84" s="18"/>
      <c r="AC84" s="18"/>
      <c r="AF84" s="18"/>
      <c r="AG84" s="18"/>
      <c r="AH84" s="18"/>
    </row>
    <row r="85" spans="1:34" x14ac:dyDescent="0.35">
      <c r="A85" s="21" t="s">
        <v>193</v>
      </c>
      <c r="B85" s="46">
        <v>19.476847620000001</v>
      </c>
      <c r="C85" s="46">
        <v>25.757898530000002</v>
      </c>
      <c r="D85" s="46">
        <v>20.545521709999999</v>
      </c>
      <c r="E85" s="174"/>
      <c r="F85" s="46" t="s">
        <v>186</v>
      </c>
      <c r="G85" s="46">
        <v>11.72287083</v>
      </c>
      <c r="H85" s="46">
        <v>2.7999566200000001</v>
      </c>
      <c r="I85" s="46">
        <v>3.1270468199999999</v>
      </c>
      <c r="J85" s="46"/>
      <c r="K85" s="46" t="s">
        <v>131</v>
      </c>
      <c r="L85" s="46">
        <v>0.36738064000000004</v>
      </c>
      <c r="M85" s="46">
        <v>5.3506910000000005E-2</v>
      </c>
      <c r="N85" s="46">
        <v>0.19776164999999998</v>
      </c>
      <c r="V85" s="18"/>
      <c r="W85" s="18"/>
      <c r="X85" s="18"/>
      <c r="Y85" s="18"/>
      <c r="AA85" s="18"/>
      <c r="AB85" s="18"/>
      <c r="AC85" s="18"/>
      <c r="AF85" s="18"/>
      <c r="AG85" s="18"/>
      <c r="AH85" s="18"/>
    </row>
    <row r="86" spans="1:34" x14ac:dyDescent="0.35">
      <c r="A86" s="21" t="s">
        <v>190</v>
      </c>
      <c r="B86" s="46">
        <v>18.927060879999999</v>
      </c>
      <c r="C86" s="46">
        <v>32.130421630000001</v>
      </c>
      <c r="D86" s="46">
        <v>19.35338569</v>
      </c>
      <c r="E86" s="174"/>
      <c r="F86" s="46" t="s">
        <v>79</v>
      </c>
      <c r="G86" s="46">
        <v>2.8232104599999999</v>
      </c>
      <c r="H86" s="46">
        <v>7.1111179999999996E-2</v>
      </c>
      <c r="I86" s="46">
        <v>3.0704611900000001</v>
      </c>
      <c r="J86" s="46"/>
      <c r="K86" s="46" t="s">
        <v>206</v>
      </c>
      <c r="L86" s="46">
        <v>1.1250097400000001</v>
      </c>
      <c r="M86" s="46">
        <v>9.1633436199999991</v>
      </c>
      <c r="N86" s="46">
        <v>0.19127747</v>
      </c>
      <c r="V86" s="18"/>
      <c r="W86" s="18"/>
      <c r="X86" s="18"/>
      <c r="Y86" s="18"/>
      <c r="AA86" s="18"/>
      <c r="AB86" s="18"/>
      <c r="AC86" s="18"/>
      <c r="AF86" s="18"/>
      <c r="AG86" s="18"/>
      <c r="AH86" s="18"/>
    </row>
    <row r="87" spans="1:34" x14ac:dyDescent="0.35">
      <c r="A87" s="21" t="s">
        <v>163</v>
      </c>
      <c r="B87" s="46">
        <v>22.292350670000001</v>
      </c>
      <c r="C87" s="46">
        <v>23.546736879999997</v>
      </c>
      <c r="D87" s="46">
        <v>19.12330425</v>
      </c>
      <c r="E87" s="174"/>
      <c r="F87" s="46" t="s">
        <v>71</v>
      </c>
      <c r="G87" s="46">
        <v>0.66513844</v>
      </c>
      <c r="H87" s="46">
        <v>3.8150792299999998</v>
      </c>
      <c r="I87" s="46">
        <v>2.9454390799999999</v>
      </c>
      <c r="J87" s="46"/>
      <c r="K87" s="46" t="s">
        <v>101</v>
      </c>
      <c r="L87" s="46">
        <v>1.2788889999999999E-2</v>
      </c>
      <c r="M87" s="46">
        <v>2.3089759999999997E-2</v>
      </c>
      <c r="N87" s="46">
        <v>0.17457443</v>
      </c>
      <c r="V87" s="18"/>
      <c r="W87" s="18"/>
      <c r="X87" s="18"/>
      <c r="Y87" s="18"/>
      <c r="AA87" s="18"/>
      <c r="AB87" s="18"/>
      <c r="AC87" s="18"/>
      <c r="AF87" s="18"/>
      <c r="AG87" s="18"/>
      <c r="AH87" s="18"/>
    </row>
    <row r="88" spans="1:34" x14ac:dyDescent="0.35">
      <c r="A88" s="21" t="s">
        <v>159</v>
      </c>
      <c r="B88" s="46">
        <v>26.338834800000001</v>
      </c>
      <c r="C88" s="46">
        <v>37.065637600000002</v>
      </c>
      <c r="D88" s="46">
        <v>18.60546064</v>
      </c>
      <c r="E88" s="174"/>
      <c r="F88" s="46" t="s">
        <v>76</v>
      </c>
      <c r="G88" s="46">
        <v>8.1939314000000003</v>
      </c>
      <c r="H88" s="46">
        <v>1.7929425800000001</v>
      </c>
      <c r="I88" s="46">
        <v>2.7873845499999996</v>
      </c>
      <c r="J88" s="46"/>
      <c r="K88" s="46" t="s">
        <v>100</v>
      </c>
      <c r="L88" s="46">
        <v>0.39866309999999999</v>
      </c>
      <c r="M88" s="46">
        <v>0.32402846000000002</v>
      </c>
      <c r="N88" s="46">
        <v>0.17222032000000001</v>
      </c>
      <c r="V88" s="18"/>
      <c r="W88" s="18"/>
      <c r="X88" s="18"/>
      <c r="Y88" s="18"/>
      <c r="AA88" s="18"/>
      <c r="AB88" s="18"/>
      <c r="AC88" s="18"/>
      <c r="AF88" s="18"/>
      <c r="AG88" s="18"/>
      <c r="AH88" s="18"/>
    </row>
    <row r="89" spans="1:34" x14ac:dyDescent="0.35">
      <c r="A89" s="21" t="s">
        <v>350</v>
      </c>
      <c r="B89" s="46">
        <v>24.43494261</v>
      </c>
      <c r="C89" s="46">
        <v>34.901168810000001</v>
      </c>
      <c r="D89" s="46">
        <v>18.398932370000001</v>
      </c>
      <c r="E89" s="174"/>
      <c r="F89" s="46" t="s">
        <v>83</v>
      </c>
      <c r="G89" s="46">
        <v>1.38012899</v>
      </c>
      <c r="H89" s="46">
        <v>2.1242515899999996</v>
      </c>
      <c r="I89" s="46">
        <v>2.7238988399999999</v>
      </c>
      <c r="J89" s="46"/>
      <c r="K89" s="46" t="s">
        <v>118</v>
      </c>
      <c r="L89" s="46">
        <v>0.20282898999999999</v>
      </c>
      <c r="M89" s="46">
        <v>0.21805533999999999</v>
      </c>
      <c r="N89" s="46">
        <v>0.17108797000000001</v>
      </c>
      <c r="V89" s="18"/>
      <c r="W89" s="18"/>
      <c r="X89" s="18"/>
      <c r="Y89" s="18"/>
      <c r="AA89" s="18"/>
      <c r="AB89" s="18"/>
      <c r="AC89" s="18"/>
      <c r="AF89" s="18"/>
      <c r="AG89" s="18"/>
      <c r="AH89" s="18"/>
    </row>
    <row r="90" spans="1:34" x14ac:dyDescent="0.35">
      <c r="A90" s="21" t="s">
        <v>116</v>
      </c>
      <c r="B90" s="46">
        <v>25.16098964</v>
      </c>
      <c r="C90" s="46">
        <v>22.462522149999998</v>
      </c>
      <c r="D90" s="46">
        <v>17.700687949999999</v>
      </c>
      <c r="E90" s="174"/>
      <c r="F90" s="46" t="s">
        <v>16</v>
      </c>
      <c r="G90" s="46">
        <v>0.14873419000000002</v>
      </c>
      <c r="H90" s="46">
        <v>3.03854E-2</v>
      </c>
      <c r="I90" s="46">
        <v>2.5496831600000003</v>
      </c>
      <c r="J90" s="46"/>
      <c r="K90" s="46" t="s">
        <v>89</v>
      </c>
      <c r="L90" s="46">
        <v>2.5784107599999997</v>
      </c>
      <c r="M90" s="46">
        <v>0.14784995000000001</v>
      </c>
      <c r="N90" s="46">
        <v>0.15627050000000001</v>
      </c>
      <c r="V90" s="18"/>
      <c r="W90" s="18"/>
      <c r="X90" s="18"/>
      <c r="Y90" s="18"/>
      <c r="AA90" s="18"/>
      <c r="AB90" s="18"/>
      <c r="AC90" s="18"/>
      <c r="AF90" s="18"/>
      <c r="AG90" s="18"/>
      <c r="AH90" s="18"/>
    </row>
    <row r="91" spans="1:34" x14ac:dyDescent="0.35">
      <c r="A91" s="21" t="s">
        <v>133</v>
      </c>
      <c r="B91" s="46">
        <v>15.0394506</v>
      </c>
      <c r="C91" s="46">
        <v>19.43725383</v>
      </c>
      <c r="D91" s="46">
        <v>17.001766069999999</v>
      </c>
      <c r="E91" s="174"/>
      <c r="F91" s="46" t="s">
        <v>160</v>
      </c>
      <c r="G91" s="46">
        <v>10.572374210000001</v>
      </c>
      <c r="H91" s="46">
        <v>19.507511269999998</v>
      </c>
      <c r="I91" s="46">
        <v>2.5275395600000001</v>
      </c>
      <c r="J91" s="46"/>
      <c r="K91" s="46" t="s">
        <v>181</v>
      </c>
      <c r="L91" s="46">
        <v>0.27909484999999995</v>
      </c>
      <c r="M91" s="46">
        <v>1.2060222899999999</v>
      </c>
      <c r="N91" s="46">
        <v>0.15606265999999999</v>
      </c>
      <c r="V91" s="18"/>
      <c r="W91" s="18"/>
      <c r="X91" s="18"/>
      <c r="Y91" s="18"/>
      <c r="AA91" s="18"/>
      <c r="AB91" s="18"/>
      <c r="AC91" s="18"/>
      <c r="AF91" s="18"/>
      <c r="AG91" s="18"/>
      <c r="AH91" s="18"/>
    </row>
    <row r="92" spans="1:34" x14ac:dyDescent="0.35">
      <c r="A92" s="21" t="s">
        <v>112</v>
      </c>
      <c r="B92" s="46">
        <v>28.535524239999997</v>
      </c>
      <c r="C92" s="46">
        <v>19.903950630000001</v>
      </c>
      <c r="D92" s="46">
        <v>16.991727770000001</v>
      </c>
      <c r="E92" s="174"/>
      <c r="F92" s="46" t="s">
        <v>115</v>
      </c>
      <c r="G92" s="46">
        <v>0.89330959999999993</v>
      </c>
      <c r="H92" s="46">
        <v>4.4608748</v>
      </c>
      <c r="I92" s="46">
        <v>2.43535514</v>
      </c>
      <c r="J92" s="46"/>
      <c r="K92" s="46" t="s">
        <v>144</v>
      </c>
      <c r="L92" s="46">
        <v>0.13819828000000001</v>
      </c>
      <c r="M92" s="46">
        <v>0.1494856</v>
      </c>
      <c r="N92" s="46">
        <v>0.13553867</v>
      </c>
      <c r="V92" s="18"/>
      <c r="W92" s="18"/>
      <c r="X92" s="18"/>
      <c r="Y92" s="18"/>
      <c r="AA92" s="18"/>
      <c r="AB92" s="18"/>
      <c r="AC92" s="18"/>
      <c r="AF92" s="18"/>
      <c r="AG92" s="18"/>
      <c r="AH92" s="18"/>
    </row>
    <row r="93" spans="1:34" x14ac:dyDescent="0.35">
      <c r="A93" s="21" t="s">
        <v>39</v>
      </c>
      <c r="B93" s="46">
        <v>16.918695329999998</v>
      </c>
      <c r="C93" s="46">
        <v>20.251770609999998</v>
      </c>
      <c r="D93" s="46">
        <v>16.928313460000002</v>
      </c>
      <c r="E93" s="174"/>
      <c r="F93" s="46" t="s">
        <v>161</v>
      </c>
      <c r="G93" s="46">
        <v>2.3419856299999999</v>
      </c>
      <c r="H93" s="46">
        <v>1.97570976</v>
      </c>
      <c r="I93" s="46">
        <v>2.3209323500000001</v>
      </c>
      <c r="J93" s="46"/>
      <c r="K93" s="46" t="s">
        <v>136</v>
      </c>
      <c r="L93" s="46">
        <v>0.17380470000000001</v>
      </c>
      <c r="M93" s="46">
        <v>0.24169156999999999</v>
      </c>
      <c r="N93" s="46">
        <v>0.13408123000000002</v>
      </c>
      <c r="V93" s="18"/>
      <c r="W93" s="18"/>
      <c r="X93" s="18"/>
      <c r="Y93" s="18"/>
      <c r="AA93" s="18"/>
      <c r="AB93" s="18"/>
      <c r="AC93" s="18"/>
      <c r="AF93" s="18"/>
      <c r="AG93" s="18"/>
      <c r="AH93" s="18"/>
    </row>
    <row r="94" spans="1:34" x14ac:dyDescent="0.35">
      <c r="A94" s="21" t="s">
        <v>92</v>
      </c>
      <c r="B94" s="46">
        <v>19.103220420000003</v>
      </c>
      <c r="C94" s="46">
        <v>28.384552929999998</v>
      </c>
      <c r="D94" s="46">
        <v>16.718205740000002</v>
      </c>
      <c r="E94" s="174"/>
      <c r="F94" s="46" t="s">
        <v>123</v>
      </c>
      <c r="G94" s="46">
        <v>5.3267231500000003</v>
      </c>
      <c r="H94" s="46">
        <v>4.7376055099999999</v>
      </c>
      <c r="I94" s="46">
        <v>2.2032625299999999</v>
      </c>
      <c r="J94" s="46"/>
      <c r="K94" s="46" t="s">
        <v>106</v>
      </c>
      <c r="L94" s="46">
        <v>0.27853910999999998</v>
      </c>
      <c r="M94" s="46">
        <v>0.19405333</v>
      </c>
      <c r="N94" s="46">
        <v>0.12543668999999999</v>
      </c>
      <c r="V94" s="18"/>
      <c r="W94" s="18"/>
      <c r="X94" s="18"/>
      <c r="Y94" s="18"/>
      <c r="AA94" s="18"/>
      <c r="AB94" s="18"/>
      <c r="AC94" s="18"/>
      <c r="AF94" s="18"/>
      <c r="AG94" s="18"/>
      <c r="AH94" s="18"/>
    </row>
    <row r="95" spans="1:34" x14ac:dyDescent="0.35">
      <c r="A95" s="21" t="s">
        <v>124</v>
      </c>
      <c r="B95" s="46">
        <v>15.565717080000001</v>
      </c>
      <c r="C95" s="46">
        <v>15.388820189999999</v>
      </c>
      <c r="D95" s="46">
        <v>16.258194589999999</v>
      </c>
      <c r="E95" s="174"/>
      <c r="F95" s="46" t="s">
        <v>39</v>
      </c>
      <c r="G95" s="46">
        <v>0</v>
      </c>
      <c r="H95" s="46">
        <v>0</v>
      </c>
      <c r="I95" s="46">
        <v>2.1257731500000001</v>
      </c>
      <c r="J95" s="46"/>
      <c r="K95" s="46" t="s">
        <v>194</v>
      </c>
      <c r="L95" s="46">
        <v>0.10612189</v>
      </c>
      <c r="M95" s="46">
        <v>0.18464370000000002</v>
      </c>
      <c r="N95" s="46">
        <v>0.12440936</v>
      </c>
      <c r="V95" s="18"/>
      <c r="W95" s="18"/>
      <c r="X95" s="18"/>
      <c r="Y95" s="18"/>
      <c r="AA95" s="18"/>
      <c r="AB95" s="18"/>
      <c r="AC95" s="18"/>
      <c r="AF95" s="18"/>
      <c r="AG95" s="18"/>
      <c r="AH95" s="18"/>
    </row>
    <row r="96" spans="1:34" x14ac:dyDescent="0.35">
      <c r="A96" s="21" t="s">
        <v>142</v>
      </c>
      <c r="B96" s="46">
        <v>31.78004262</v>
      </c>
      <c r="C96" s="46">
        <v>14.07385575</v>
      </c>
      <c r="D96" s="46">
        <v>16.020733180000001</v>
      </c>
      <c r="E96" s="174"/>
      <c r="F96" s="46" t="s">
        <v>188</v>
      </c>
      <c r="G96" s="46">
        <v>6.3135311900000008</v>
      </c>
      <c r="H96" s="46">
        <v>1.9685575</v>
      </c>
      <c r="I96" s="46">
        <v>1.9456448200000001</v>
      </c>
      <c r="J96" s="46"/>
      <c r="K96" s="46" t="s">
        <v>368</v>
      </c>
      <c r="L96" s="46">
        <v>0.19418586999999998</v>
      </c>
      <c r="M96" s="46">
        <v>0.12977532</v>
      </c>
      <c r="N96" s="46">
        <v>0.11939408</v>
      </c>
      <c r="V96" s="18"/>
      <c r="W96" s="18"/>
      <c r="X96" s="18"/>
      <c r="Y96" s="18"/>
      <c r="AA96" s="18"/>
      <c r="AB96" s="18"/>
      <c r="AC96" s="18"/>
      <c r="AF96" s="18"/>
      <c r="AG96" s="18"/>
      <c r="AH96" s="18"/>
    </row>
    <row r="97" spans="1:34" x14ac:dyDescent="0.35">
      <c r="A97" s="21" t="s">
        <v>137</v>
      </c>
      <c r="B97" s="46">
        <v>15.909786689999999</v>
      </c>
      <c r="C97" s="46">
        <v>17.977248109999998</v>
      </c>
      <c r="D97" s="46">
        <v>15.952637699999999</v>
      </c>
      <c r="E97" s="174"/>
      <c r="F97" s="46" t="s">
        <v>72</v>
      </c>
      <c r="G97" s="46">
        <v>1.19647996</v>
      </c>
      <c r="H97" s="46">
        <v>3.2517007000000002</v>
      </c>
      <c r="I97" s="46">
        <v>1.86138106</v>
      </c>
      <c r="J97" s="46"/>
      <c r="K97" s="46" t="s">
        <v>104</v>
      </c>
      <c r="L97" s="46">
        <v>0.11598966000000001</v>
      </c>
      <c r="M97" s="46">
        <v>4.6042199999999998E-2</v>
      </c>
      <c r="N97" s="46">
        <v>0.11665432000000001</v>
      </c>
      <c r="V97" s="18"/>
      <c r="W97" s="18"/>
      <c r="X97" s="18"/>
      <c r="Y97" s="18"/>
      <c r="AA97" s="18"/>
      <c r="AB97" s="18"/>
      <c r="AC97" s="18"/>
      <c r="AF97" s="18"/>
      <c r="AG97" s="18"/>
      <c r="AH97" s="18"/>
    </row>
    <row r="98" spans="1:34" x14ac:dyDescent="0.35">
      <c r="A98" s="21" t="s">
        <v>38</v>
      </c>
      <c r="B98" s="46">
        <v>14.00173103</v>
      </c>
      <c r="C98" s="46">
        <v>24.835304300000001</v>
      </c>
      <c r="D98" s="46">
        <v>15.88616305</v>
      </c>
      <c r="E98" s="174"/>
      <c r="F98" s="46" t="s">
        <v>109</v>
      </c>
      <c r="G98" s="46">
        <v>1.8935559</v>
      </c>
      <c r="H98" s="46">
        <v>1.56123843</v>
      </c>
      <c r="I98" s="46">
        <v>1.8427173100000001</v>
      </c>
      <c r="J98" s="46"/>
      <c r="K98" s="46" t="s">
        <v>137</v>
      </c>
      <c r="L98" s="46">
        <v>8.5586820000000008E-2</v>
      </c>
      <c r="M98" s="46">
        <v>5.7307999999999998E-2</v>
      </c>
      <c r="N98" s="46">
        <v>0.10837780999999999</v>
      </c>
      <c r="V98" s="18"/>
      <c r="W98" s="18"/>
      <c r="X98" s="18"/>
      <c r="Y98" s="18"/>
      <c r="AA98" s="18"/>
      <c r="AB98" s="18"/>
      <c r="AC98" s="18"/>
      <c r="AF98" s="18"/>
      <c r="AG98" s="18"/>
      <c r="AH98" s="18"/>
    </row>
    <row r="99" spans="1:34" x14ac:dyDescent="0.35">
      <c r="A99" s="21" t="s">
        <v>209</v>
      </c>
      <c r="B99" s="46">
        <v>19.753393829999997</v>
      </c>
      <c r="C99" s="46">
        <v>25.643053070000001</v>
      </c>
      <c r="D99" s="46">
        <v>15.829980880000001</v>
      </c>
      <c r="E99" s="174"/>
      <c r="F99" s="46" t="s">
        <v>73</v>
      </c>
      <c r="G99" s="46">
        <v>0.29465152</v>
      </c>
      <c r="H99" s="46">
        <v>0</v>
      </c>
      <c r="I99" s="46">
        <v>1.7832130500000001</v>
      </c>
      <c r="J99" s="46"/>
      <c r="K99" s="46" t="s">
        <v>125</v>
      </c>
      <c r="L99" s="46">
        <v>4.8146300000000003E-3</v>
      </c>
      <c r="M99" s="46">
        <v>1.159291E-2</v>
      </c>
      <c r="N99" s="46">
        <v>0.10224036</v>
      </c>
      <c r="V99" s="18"/>
      <c r="W99" s="18"/>
      <c r="X99" s="18"/>
      <c r="Y99" s="18"/>
      <c r="AA99" s="18"/>
      <c r="AB99" s="18"/>
      <c r="AC99" s="18"/>
      <c r="AF99" s="18"/>
      <c r="AG99" s="18"/>
      <c r="AH99" s="18"/>
    </row>
    <row r="100" spans="1:34" x14ac:dyDescent="0.35">
      <c r="A100" s="21" t="s">
        <v>188</v>
      </c>
      <c r="B100" s="46">
        <v>12.488953460000001</v>
      </c>
      <c r="C100" s="46">
        <v>15.324024420000001</v>
      </c>
      <c r="D100" s="46">
        <v>15.754444019999999</v>
      </c>
      <c r="E100" s="174"/>
      <c r="F100" s="46" t="s">
        <v>5</v>
      </c>
      <c r="G100" s="46">
        <v>6.0073724899999998</v>
      </c>
      <c r="H100" s="46">
        <v>1.92041116</v>
      </c>
      <c r="I100" s="46">
        <v>1.77319165</v>
      </c>
      <c r="J100" s="46"/>
      <c r="K100" s="46" t="s">
        <v>196</v>
      </c>
      <c r="L100" s="46">
        <v>0.12277162</v>
      </c>
      <c r="M100" s="46">
        <v>0.11983239109999999</v>
      </c>
      <c r="N100" s="46">
        <v>0.10140198</v>
      </c>
      <c r="V100" s="18"/>
      <c r="W100" s="18"/>
      <c r="X100" s="18"/>
      <c r="Y100" s="18"/>
      <c r="AA100" s="18"/>
      <c r="AB100" s="18"/>
      <c r="AC100" s="18"/>
      <c r="AF100" s="18"/>
      <c r="AG100" s="18"/>
      <c r="AH100" s="18"/>
    </row>
    <row r="101" spans="1:34" x14ac:dyDescent="0.35">
      <c r="A101" s="21" t="s">
        <v>197</v>
      </c>
      <c r="B101" s="46">
        <v>20.069543700000001</v>
      </c>
      <c r="C101" s="46">
        <v>20.0589671799999</v>
      </c>
      <c r="D101" s="46">
        <v>15.204958470000001</v>
      </c>
      <c r="E101" s="174"/>
      <c r="F101" s="46" t="s">
        <v>175</v>
      </c>
      <c r="G101" s="46">
        <v>3.3008564500000004</v>
      </c>
      <c r="H101" s="46">
        <v>0.57334659999999993</v>
      </c>
      <c r="I101" s="46">
        <v>1.7403519999999999</v>
      </c>
      <c r="J101" s="46"/>
      <c r="K101" s="46" t="s">
        <v>47</v>
      </c>
      <c r="L101" s="46">
        <v>0</v>
      </c>
      <c r="M101" s="46">
        <v>3.4178489999999999E-2</v>
      </c>
      <c r="N101" s="46">
        <v>9.4319850000000011E-2</v>
      </c>
      <c r="V101" s="18"/>
      <c r="W101" s="18"/>
      <c r="X101" s="18"/>
      <c r="Y101" s="18"/>
      <c r="AA101" s="18"/>
      <c r="AB101" s="18"/>
      <c r="AC101" s="18"/>
      <c r="AF101" s="18"/>
      <c r="AG101" s="18"/>
      <c r="AH101" s="18"/>
    </row>
    <row r="102" spans="1:34" x14ac:dyDescent="0.35">
      <c r="A102" s="21" t="s">
        <v>144</v>
      </c>
      <c r="B102" s="46">
        <v>7.7134275900000002</v>
      </c>
      <c r="C102" s="46">
        <v>7.8923259699999999</v>
      </c>
      <c r="D102" s="46">
        <v>14.97070576</v>
      </c>
      <c r="E102" s="174"/>
      <c r="F102" s="46" t="s">
        <v>197</v>
      </c>
      <c r="G102" s="46">
        <v>6.0565760099999997</v>
      </c>
      <c r="H102" s="46">
        <v>4.2078190900000001</v>
      </c>
      <c r="I102" s="46">
        <v>1.63528896</v>
      </c>
      <c r="J102" s="46"/>
      <c r="K102" s="46" t="s">
        <v>132</v>
      </c>
      <c r="L102" s="46">
        <v>3.4507469999999998E-2</v>
      </c>
      <c r="M102" s="46">
        <v>6.1972099999999999E-3</v>
      </c>
      <c r="N102" s="46">
        <v>9.4139410000000007E-2</v>
      </c>
      <c r="V102" s="18"/>
      <c r="W102" s="18"/>
      <c r="X102" s="18"/>
      <c r="Y102" s="18"/>
      <c r="AA102" s="18"/>
      <c r="AB102" s="18"/>
      <c r="AC102" s="18"/>
      <c r="AF102" s="18"/>
      <c r="AG102" s="18"/>
      <c r="AH102" s="18"/>
    </row>
    <row r="103" spans="1:34" x14ac:dyDescent="0.35">
      <c r="A103" s="21" t="s">
        <v>4</v>
      </c>
      <c r="B103" s="46">
        <v>11.390268580000001</v>
      </c>
      <c r="C103" s="46">
        <v>23.521499079999998</v>
      </c>
      <c r="D103" s="46">
        <v>14.58629045</v>
      </c>
      <c r="E103" s="174"/>
      <c r="F103" s="46" t="s">
        <v>155</v>
      </c>
      <c r="G103" s="46">
        <v>1.58230754</v>
      </c>
      <c r="H103" s="46">
        <v>1.46546423</v>
      </c>
      <c r="I103" s="46">
        <v>1.5901577600000001</v>
      </c>
      <c r="J103" s="46"/>
      <c r="K103" s="46" t="s">
        <v>169</v>
      </c>
      <c r="L103" s="46">
        <v>1.192031E-2</v>
      </c>
      <c r="M103" s="46">
        <v>5.174861E-2</v>
      </c>
      <c r="N103" s="46">
        <v>9.3115369999999989E-2</v>
      </c>
      <c r="V103" s="18"/>
      <c r="W103" s="18"/>
      <c r="X103" s="18"/>
      <c r="Y103" s="18"/>
      <c r="AA103" s="18"/>
      <c r="AB103" s="18"/>
      <c r="AC103" s="18"/>
      <c r="AF103" s="18"/>
      <c r="AG103" s="18"/>
      <c r="AH103" s="18"/>
    </row>
    <row r="104" spans="1:34" x14ac:dyDescent="0.35">
      <c r="A104" s="21" t="s">
        <v>103</v>
      </c>
      <c r="B104" s="46">
        <v>17.771915149999998</v>
      </c>
      <c r="C104" s="46">
        <v>21.493971079999998</v>
      </c>
      <c r="D104" s="46">
        <v>14.373129179999999</v>
      </c>
      <c r="E104" s="174"/>
      <c r="F104" s="46" t="s">
        <v>143</v>
      </c>
      <c r="G104" s="46">
        <v>12.70396931</v>
      </c>
      <c r="H104" s="46">
        <v>1.6802033200000002</v>
      </c>
      <c r="I104" s="46">
        <v>1.5595496799999999</v>
      </c>
      <c r="J104" s="46"/>
      <c r="K104" s="46" t="s">
        <v>93</v>
      </c>
      <c r="L104" s="46">
        <v>0.12887170000000001</v>
      </c>
      <c r="M104" s="46">
        <v>0.13667046999999999</v>
      </c>
      <c r="N104" s="46">
        <v>8.9995580000000006E-2</v>
      </c>
      <c r="V104" s="18"/>
      <c r="W104" s="18"/>
      <c r="X104" s="18"/>
      <c r="Y104" s="18"/>
      <c r="AA104" s="18"/>
      <c r="AB104" s="18"/>
      <c r="AC104" s="18"/>
      <c r="AF104" s="18"/>
      <c r="AG104" s="18"/>
      <c r="AH104" s="18"/>
    </row>
    <row r="105" spans="1:34" x14ac:dyDescent="0.35">
      <c r="A105" s="21" t="s">
        <v>19</v>
      </c>
      <c r="B105" s="46">
        <v>16.688544099999998</v>
      </c>
      <c r="C105" s="46">
        <v>15.51536031</v>
      </c>
      <c r="D105" s="46">
        <v>14.273400630000001</v>
      </c>
      <c r="E105" s="174"/>
      <c r="F105" s="46" t="s">
        <v>168</v>
      </c>
      <c r="G105" s="46">
        <v>1.28332376</v>
      </c>
      <c r="H105" s="46">
        <v>0.15531939</v>
      </c>
      <c r="I105" s="46">
        <v>1.4944259600000001</v>
      </c>
      <c r="J105" s="46"/>
      <c r="K105" s="46" t="s">
        <v>186</v>
      </c>
      <c r="L105" s="46">
        <v>0</v>
      </c>
      <c r="M105" s="46">
        <v>2.3824612799999998</v>
      </c>
      <c r="N105" s="46">
        <v>8.7395479999999998E-2</v>
      </c>
      <c r="V105" s="18"/>
      <c r="W105" s="18"/>
      <c r="X105" s="18"/>
      <c r="Y105" s="18"/>
      <c r="AA105" s="18"/>
      <c r="AB105" s="18"/>
      <c r="AC105" s="18"/>
      <c r="AF105" s="18"/>
      <c r="AG105" s="18"/>
      <c r="AH105" s="18"/>
    </row>
    <row r="106" spans="1:34" x14ac:dyDescent="0.35">
      <c r="A106" s="21" t="s">
        <v>117</v>
      </c>
      <c r="B106" s="46">
        <v>10.638020060000001</v>
      </c>
      <c r="C106" s="46">
        <v>15.420945939999999</v>
      </c>
      <c r="D106" s="46">
        <v>13.59091113</v>
      </c>
      <c r="E106" s="174"/>
      <c r="F106" s="46" t="s">
        <v>200</v>
      </c>
      <c r="G106" s="46">
        <v>8.2312617899999996</v>
      </c>
      <c r="H106" s="46">
        <v>6.7654941500000003</v>
      </c>
      <c r="I106" s="46">
        <v>1.46681821</v>
      </c>
      <c r="J106" s="46"/>
      <c r="K106" s="46" t="s">
        <v>152</v>
      </c>
      <c r="L106" s="46">
        <v>0.16403218</v>
      </c>
      <c r="M106" s="46">
        <v>0.10124672</v>
      </c>
      <c r="N106" s="46">
        <v>8.3650729999999993E-2</v>
      </c>
      <c r="V106" s="18"/>
      <c r="W106" s="18"/>
      <c r="X106" s="18"/>
      <c r="Y106" s="18"/>
      <c r="AA106" s="18"/>
      <c r="AB106" s="18"/>
      <c r="AC106" s="18"/>
      <c r="AF106" s="18"/>
      <c r="AG106" s="18"/>
      <c r="AH106" s="18"/>
    </row>
    <row r="107" spans="1:34" x14ac:dyDescent="0.35">
      <c r="A107" s="21" t="s">
        <v>90</v>
      </c>
      <c r="B107" s="46">
        <v>15.149833699999999</v>
      </c>
      <c r="C107" s="46">
        <v>22.061847350000001</v>
      </c>
      <c r="D107" s="46">
        <v>13.5796587</v>
      </c>
      <c r="E107" s="174"/>
      <c r="F107" s="46" t="s">
        <v>147</v>
      </c>
      <c r="G107" s="46">
        <v>0.25259427000000001</v>
      </c>
      <c r="H107" s="46">
        <v>0.9045764300000001</v>
      </c>
      <c r="I107" s="46">
        <v>1.4598291299999999</v>
      </c>
      <c r="J107" s="46"/>
      <c r="K107" s="46" t="s">
        <v>211</v>
      </c>
      <c r="L107" s="46">
        <v>0.12483068</v>
      </c>
      <c r="M107" s="46">
        <v>2.9429009999999999E-2</v>
      </c>
      <c r="N107" s="46">
        <v>8.3259770000000011E-2</v>
      </c>
      <c r="V107" s="18"/>
      <c r="W107" s="18"/>
      <c r="X107" s="18"/>
      <c r="Y107" s="18"/>
      <c r="AA107" s="18"/>
      <c r="AB107" s="18"/>
      <c r="AC107" s="18"/>
      <c r="AF107" s="18"/>
      <c r="AG107" s="18"/>
      <c r="AH107" s="18"/>
    </row>
    <row r="108" spans="1:34" x14ac:dyDescent="0.35">
      <c r="A108" s="21" t="s">
        <v>86</v>
      </c>
      <c r="B108" s="46">
        <v>13.68829264</v>
      </c>
      <c r="C108" s="46">
        <v>17.118960960000003</v>
      </c>
      <c r="D108" s="46">
        <v>13.14201057</v>
      </c>
      <c r="E108" s="174"/>
      <c r="F108" s="46" t="s">
        <v>348</v>
      </c>
      <c r="G108" s="46">
        <v>0.22191560999999999</v>
      </c>
      <c r="H108" s="46">
        <v>4.1187010000000003E-2</v>
      </c>
      <c r="I108" s="46">
        <v>1.41597602</v>
      </c>
      <c r="J108" s="46"/>
      <c r="K108" s="46" t="s">
        <v>120</v>
      </c>
      <c r="L108" s="46">
        <v>0.63142621999999993</v>
      </c>
      <c r="M108" s="46">
        <v>7.5138049999999998E-2</v>
      </c>
      <c r="N108" s="46">
        <v>8.3217689999999997E-2</v>
      </c>
      <c r="V108" s="18"/>
      <c r="W108" s="18"/>
      <c r="X108" s="18"/>
      <c r="Y108" s="18"/>
      <c r="AA108" s="18"/>
      <c r="AB108" s="18"/>
      <c r="AC108" s="18"/>
      <c r="AF108" s="18"/>
      <c r="AG108" s="18"/>
      <c r="AH108" s="18"/>
    </row>
    <row r="109" spans="1:34" x14ac:dyDescent="0.35">
      <c r="A109" s="21" t="s">
        <v>104</v>
      </c>
      <c r="B109" s="46">
        <v>14.029421109999999</v>
      </c>
      <c r="C109" s="46">
        <v>19.97891568</v>
      </c>
      <c r="D109" s="46">
        <v>13.020982720000001</v>
      </c>
      <c r="E109" s="174"/>
      <c r="F109" s="46" t="s">
        <v>196</v>
      </c>
      <c r="G109" s="46">
        <v>0.20605210000000002</v>
      </c>
      <c r="H109" s="46">
        <v>0.38306946000000003</v>
      </c>
      <c r="I109" s="46">
        <v>1.40630999</v>
      </c>
      <c r="J109" s="46"/>
      <c r="K109" s="46" t="s">
        <v>105</v>
      </c>
      <c r="L109" s="46">
        <v>1.9589470000000001E-2</v>
      </c>
      <c r="M109" s="46">
        <v>5.468112E-2</v>
      </c>
      <c r="N109" s="46">
        <v>8.3015429999999987E-2</v>
      </c>
      <c r="V109" s="18"/>
      <c r="W109" s="18"/>
      <c r="X109" s="18"/>
      <c r="Y109" s="18"/>
      <c r="AA109" s="18"/>
      <c r="AB109" s="18"/>
      <c r="AC109" s="18"/>
      <c r="AF109" s="18"/>
      <c r="AG109" s="18"/>
      <c r="AH109" s="18"/>
    </row>
    <row r="110" spans="1:34" x14ac:dyDescent="0.35">
      <c r="A110" s="21" t="s">
        <v>210</v>
      </c>
      <c r="B110" s="46">
        <v>10.81005723</v>
      </c>
      <c r="C110" s="46">
        <v>14.020361119999999</v>
      </c>
      <c r="D110" s="46">
        <v>12.826367660000001</v>
      </c>
      <c r="E110" s="174"/>
      <c r="F110" s="46" t="s">
        <v>190</v>
      </c>
      <c r="G110" s="46">
        <v>1.69026228</v>
      </c>
      <c r="H110" s="46">
        <v>1.20227332</v>
      </c>
      <c r="I110" s="46">
        <v>1.3213390199999999</v>
      </c>
      <c r="J110" s="46"/>
      <c r="K110" s="46" t="s">
        <v>84</v>
      </c>
      <c r="L110" s="46">
        <v>0.18315418999999999</v>
      </c>
      <c r="M110" s="46">
        <v>5.7264339999999997E-2</v>
      </c>
      <c r="N110" s="46">
        <v>7.5554919999999998E-2</v>
      </c>
      <c r="V110" s="18"/>
      <c r="W110" s="18"/>
      <c r="X110" s="18"/>
      <c r="Y110" s="18"/>
      <c r="AA110" s="18"/>
      <c r="AB110" s="18"/>
      <c r="AC110" s="18"/>
      <c r="AF110" s="18"/>
      <c r="AG110" s="18"/>
      <c r="AH110" s="18"/>
    </row>
    <row r="111" spans="1:34" x14ac:dyDescent="0.35">
      <c r="A111" s="21" t="s">
        <v>75</v>
      </c>
      <c r="B111" s="46">
        <v>17.258589820000001</v>
      </c>
      <c r="C111" s="46">
        <v>18.43525571</v>
      </c>
      <c r="D111" s="46">
        <v>12.799148839999999</v>
      </c>
      <c r="E111" s="174"/>
      <c r="F111" s="46" t="s">
        <v>66</v>
      </c>
      <c r="G111" s="46">
        <v>0.57155497</v>
      </c>
      <c r="H111" s="46">
        <v>0.38327758000000001</v>
      </c>
      <c r="I111" s="46">
        <v>1.28352635</v>
      </c>
      <c r="J111" s="46"/>
      <c r="K111" s="46" t="s">
        <v>0</v>
      </c>
      <c r="L111" s="46">
        <v>2.7495407099999998</v>
      </c>
      <c r="M111" s="46">
        <v>3.9078448300000002</v>
      </c>
      <c r="N111" s="46">
        <v>7.1509610000000001E-2</v>
      </c>
      <c r="V111" s="18"/>
      <c r="W111" s="18"/>
      <c r="X111" s="18"/>
      <c r="Y111" s="18"/>
      <c r="AA111" s="18"/>
      <c r="AB111" s="18"/>
      <c r="AC111" s="18"/>
      <c r="AF111" s="18"/>
      <c r="AG111" s="18"/>
      <c r="AH111" s="18"/>
    </row>
    <row r="112" spans="1:34" x14ac:dyDescent="0.35">
      <c r="A112" s="21" t="s">
        <v>2</v>
      </c>
      <c r="B112" s="46">
        <v>22.673655760000003</v>
      </c>
      <c r="C112" s="46">
        <v>14.516990079999999</v>
      </c>
      <c r="D112" s="46">
        <v>12.460593800000002</v>
      </c>
      <c r="E112" s="174"/>
      <c r="F112" s="46" t="s">
        <v>126</v>
      </c>
      <c r="G112" s="46">
        <v>2.9274391299999998</v>
      </c>
      <c r="H112" s="46">
        <v>2.83678995</v>
      </c>
      <c r="I112" s="46">
        <v>1.1936778100000001</v>
      </c>
      <c r="J112" s="46"/>
      <c r="K112" s="46" t="s">
        <v>88</v>
      </c>
      <c r="L112" s="46">
        <v>8.4940360000000006E-2</v>
      </c>
      <c r="M112" s="46">
        <v>7.2031369999999997E-2</v>
      </c>
      <c r="N112" s="46">
        <v>7.010878999999999E-2</v>
      </c>
      <c r="V112" s="18"/>
      <c r="W112" s="18"/>
      <c r="X112" s="18"/>
      <c r="Y112" s="18"/>
      <c r="AA112" s="18"/>
      <c r="AB112" s="18"/>
      <c r="AC112" s="18"/>
      <c r="AF112" s="18"/>
      <c r="AG112" s="18"/>
      <c r="AH112" s="18"/>
    </row>
    <row r="113" spans="1:34" x14ac:dyDescent="0.35">
      <c r="A113" s="21" t="s">
        <v>172</v>
      </c>
      <c r="B113" s="46">
        <v>27.2330133</v>
      </c>
      <c r="C113" s="46">
        <v>48.578551579999996</v>
      </c>
      <c r="D113" s="46">
        <v>12.352551199999999</v>
      </c>
      <c r="E113" s="174"/>
      <c r="F113" s="46" t="s">
        <v>4</v>
      </c>
      <c r="G113" s="46">
        <v>0.96069692000000007</v>
      </c>
      <c r="H113" s="46">
        <v>0.23695832999999999</v>
      </c>
      <c r="I113" s="46">
        <v>1.1332897200000001</v>
      </c>
      <c r="J113" s="46"/>
      <c r="K113" s="46" t="s">
        <v>187</v>
      </c>
      <c r="L113" s="46">
        <v>0</v>
      </c>
      <c r="M113" s="46">
        <v>4.121E-5</v>
      </c>
      <c r="N113" s="46">
        <v>5.8871480000000004E-2</v>
      </c>
      <c r="V113" s="18"/>
      <c r="W113" s="18"/>
      <c r="X113" s="18"/>
      <c r="Y113" s="18"/>
      <c r="AA113" s="18"/>
      <c r="AB113" s="18"/>
      <c r="AC113" s="18"/>
      <c r="AF113" s="18"/>
      <c r="AG113" s="18"/>
      <c r="AH113" s="18"/>
    </row>
    <row r="114" spans="1:34" x14ac:dyDescent="0.35">
      <c r="A114" s="21" t="s">
        <v>357</v>
      </c>
      <c r="B114" s="46">
        <v>18.310242629999998</v>
      </c>
      <c r="C114" s="46">
        <v>20.925639649999997</v>
      </c>
      <c r="D114" s="46">
        <v>12.2927617</v>
      </c>
      <c r="E114" s="174"/>
      <c r="F114" s="46" t="s">
        <v>80</v>
      </c>
      <c r="G114" s="46">
        <v>1.4476203300000001</v>
      </c>
      <c r="H114" s="46">
        <v>0.15791201000000002</v>
      </c>
      <c r="I114" s="46">
        <v>1.11656201</v>
      </c>
      <c r="J114" s="46"/>
      <c r="K114" s="46" t="s">
        <v>149</v>
      </c>
      <c r="L114" s="46">
        <v>8.7791949999999994E-2</v>
      </c>
      <c r="M114" s="46">
        <v>4.9232870000000005E-2</v>
      </c>
      <c r="N114" s="46">
        <v>5.6767640000000001E-2</v>
      </c>
      <c r="V114" s="18"/>
      <c r="W114" s="18"/>
      <c r="X114" s="18"/>
      <c r="Y114" s="18"/>
      <c r="AA114" s="18"/>
      <c r="AB114" s="18"/>
      <c r="AC114" s="18"/>
      <c r="AF114" s="18"/>
      <c r="AG114" s="18"/>
      <c r="AH114" s="18"/>
    </row>
    <row r="115" spans="1:34" x14ac:dyDescent="0.35">
      <c r="A115" s="21" t="s">
        <v>93</v>
      </c>
      <c r="B115" s="46">
        <v>11.6075322</v>
      </c>
      <c r="C115" s="46">
        <v>10.933916289999999</v>
      </c>
      <c r="D115" s="46">
        <v>12.15091284</v>
      </c>
      <c r="E115" s="174"/>
      <c r="F115" s="46" t="s">
        <v>17</v>
      </c>
      <c r="G115" s="46">
        <v>1.75310583</v>
      </c>
      <c r="H115" s="46">
        <v>0.72215669999999998</v>
      </c>
      <c r="I115" s="46">
        <v>1.0853911000000001</v>
      </c>
      <c r="J115" s="46"/>
      <c r="K115" s="46" t="s">
        <v>112</v>
      </c>
      <c r="L115" s="46">
        <v>0.10599207000000001</v>
      </c>
      <c r="M115" s="46">
        <v>0.10090932000000001</v>
      </c>
      <c r="N115" s="46">
        <v>5.6242569999999999E-2</v>
      </c>
      <c r="V115" s="18"/>
      <c r="W115" s="18"/>
      <c r="X115" s="18"/>
      <c r="Y115" s="18"/>
      <c r="AA115" s="18"/>
      <c r="AB115" s="18"/>
      <c r="AC115" s="18"/>
      <c r="AF115" s="18"/>
      <c r="AG115" s="18"/>
      <c r="AH115" s="18"/>
    </row>
    <row r="116" spans="1:34" x14ac:dyDescent="0.35">
      <c r="A116" s="21" t="s">
        <v>175</v>
      </c>
      <c r="B116" s="46">
        <v>1.3128176899999999</v>
      </c>
      <c r="C116" s="46">
        <v>5.4167425599999994</v>
      </c>
      <c r="D116" s="46">
        <v>11.985134789999998</v>
      </c>
      <c r="E116" s="174"/>
      <c r="F116" s="46" t="s">
        <v>148</v>
      </c>
      <c r="G116" s="46">
        <v>8.4462270000000006E-2</v>
      </c>
      <c r="H116" s="46">
        <v>0.23537110999999999</v>
      </c>
      <c r="I116" s="46">
        <v>1.06459141</v>
      </c>
      <c r="J116" s="46"/>
      <c r="K116" s="46" t="s">
        <v>95</v>
      </c>
      <c r="L116" s="46">
        <v>0.10773663999999999</v>
      </c>
      <c r="M116" s="46">
        <v>0.10644653999999999</v>
      </c>
      <c r="N116" s="46">
        <v>5.4499319999999997E-2</v>
      </c>
      <c r="V116" s="18"/>
      <c r="W116" s="18"/>
      <c r="X116" s="18"/>
      <c r="Y116" s="18"/>
      <c r="AA116" s="18"/>
      <c r="AB116" s="18"/>
      <c r="AC116" s="18"/>
      <c r="AF116" s="18"/>
      <c r="AG116" s="18"/>
      <c r="AH116" s="18"/>
    </row>
    <row r="117" spans="1:34" x14ac:dyDescent="0.35">
      <c r="A117" s="21" t="s">
        <v>8</v>
      </c>
      <c r="B117" s="46">
        <v>17.695539329999999</v>
      </c>
      <c r="C117" s="46">
        <v>17.56577966</v>
      </c>
      <c r="D117" s="46">
        <v>11.837902250000001</v>
      </c>
      <c r="E117" s="174"/>
      <c r="F117" s="46" t="s">
        <v>108</v>
      </c>
      <c r="G117" s="46">
        <v>0.27199369000000001</v>
      </c>
      <c r="H117" s="46">
        <v>0.16741023999999999</v>
      </c>
      <c r="I117" s="46">
        <v>1.0293892900000001</v>
      </c>
      <c r="J117" s="46"/>
      <c r="K117" s="46" t="s">
        <v>77</v>
      </c>
      <c r="L117" s="46">
        <v>8.5693530000000004E-2</v>
      </c>
      <c r="M117" s="46">
        <v>0.10868767999999999</v>
      </c>
      <c r="N117" s="46">
        <v>5.3970789999999998E-2</v>
      </c>
      <c r="V117" s="18"/>
      <c r="W117" s="18"/>
      <c r="X117" s="18"/>
      <c r="Y117" s="18"/>
      <c r="AA117" s="18"/>
      <c r="AB117" s="18"/>
      <c r="AC117" s="18"/>
      <c r="AF117" s="18"/>
      <c r="AG117" s="18"/>
      <c r="AH117" s="18"/>
    </row>
    <row r="118" spans="1:34" x14ac:dyDescent="0.35">
      <c r="A118" s="21" t="s">
        <v>384</v>
      </c>
      <c r="B118" s="46">
        <v>10.594937910000001</v>
      </c>
      <c r="C118" s="46">
        <v>9.4642420399999985</v>
      </c>
      <c r="D118" s="46">
        <v>11.10324745</v>
      </c>
      <c r="E118" s="174"/>
      <c r="F118" s="46" t="s">
        <v>353</v>
      </c>
      <c r="G118" s="46">
        <v>4.2083279999999998</v>
      </c>
      <c r="H118" s="46">
        <v>1.9625760000000001</v>
      </c>
      <c r="I118" s="46">
        <v>1.020389</v>
      </c>
      <c r="J118" s="46"/>
      <c r="K118" s="46" t="s">
        <v>115</v>
      </c>
      <c r="L118" s="46">
        <v>6.6665130000000003E-2</v>
      </c>
      <c r="M118" s="46">
        <v>2.3144330000000001E-2</v>
      </c>
      <c r="N118" s="46">
        <v>5.3496949999999995E-2</v>
      </c>
      <c r="V118" s="18"/>
      <c r="W118" s="18"/>
      <c r="X118" s="18"/>
      <c r="Y118" s="18"/>
      <c r="AA118" s="18"/>
      <c r="AB118" s="18"/>
      <c r="AC118" s="18"/>
      <c r="AF118" s="18"/>
      <c r="AG118" s="18"/>
      <c r="AH118" s="18"/>
    </row>
    <row r="119" spans="1:34" x14ac:dyDescent="0.35">
      <c r="A119" s="21" t="s">
        <v>23</v>
      </c>
      <c r="B119" s="46">
        <v>14.226960810000001</v>
      </c>
      <c r="C119" s="46">
        <v>14.56500615</v>
      </c>
      <c r="D119" s="46">
        <v>10.883009380000001</v>
      </c>
      <c r="E119" s="174"/>
      <c r="F119" s="46" t="s">
        <v>118</v>
      </c>
      <c r="G119" s="46">
        <v>2.6821876000000002</v>
      </c>
      <c r="H119" s="46">
        <v>2.1313512700000001</v>
      </c>
      <c r="I119" s="46">
        <v>1.01678643</v>
      </c>
      <c r="J119" s="46"/>
      <c r="K119" s="46" t="s">
        <v>111</v>
      </c>
      <c r="L119" s="46">
        <v>1.8645769999999999E-2</v>
      </c>
      <c r="M119" s="46">
        <v>6.8346919999999992E-2</v>
      </c>
      <c r="N119" s="46">
        <v>5.335442E-2</v>
      </c>
      <c r="V119" s="18"/>
      <c r="W119" s="18"/>
      <c r="X119" s="18"/>
      <c r="Y119" s="18"/>
      <c r="AA119" s="18"/>
      <c r="AB119" s="18"/>
      <c r="AC119" s="18"/>
      <c r="AF119" s="18"/>
      <c r="AG119" s="18"/>
      <c r="AH119" s="18"/>
    </row>
    <row r="120" spans="1:34" x14ac:dyDescent="0.35">
      <c r="A120" s="21" t="s">
        <v>204</v>
      </c>
      <c r="B120" s="46">
        <v>8.9522302400000004</v>
      </c>
      <c r="C120" s="46">
        <v>8.61171682999999</v>
      </c>
      <c r="D120" s="46">
        <v>10.434621119999999</v>
      </c>
      <c r="E120" s="174"/>
      <c r="F120" s="46" t="s">
        <v>132</v>
      </c>
      <c r="G120" s="46">
        <v>22.400824059999998</v>
      </c>
      <c r="H120" s="46">
        <v>3.3352431199999999</v>
      </c>
      <c r="I120" s="46">
        <v>1.00482732</v>
      </c>
      <c r="J120" s="46"/>
      <c r="K120" s="46" t="s">
        <v>73</v>
      </c>
      <c r="L120" s="46">
        <v>1.7707199999999999E-2</v>
      </c>
      <c r="M120" s="46">
        <v>8.7329570000000009E-2</v>
      </c>
      <c r="N120" s="46">
        <v>5.2671179999999998E-2</v>
      </c>
      <c r="V120" s="18"/>
      <c r="W120" s="18"/>
      <c r="X120" s="18"/>
      <c r="Y120" s="18"/>
      <c r="AA120" s="18"/>
      <c r="AB120" s="18"/>
      <c r="AC120" s="18"/>
      <c r="AF120" s="18"/>
      <c r="AG120" s="18"/>
      <c r="AH120" s="18"/>
    </row>
    <row r="121" spans="1:34" x14ac:dyDescent="0.35">
      <c r="A121" s="21" t="s">
        <v>181</v>
      </c>
      <c r="B121" s="46">
        <v>8.63317114</v>
      </c>
      <c r="C121" s="46">
        <v>9.3518569899999999</v>
      </c>
      <c r="D121" s="46">
        <v>10.0117355</v>
      </c>
      <c r="E121" s="174"/>
      <c r="F121" s="46" t="s">
        <v>137</v>
      </c>
      <c r="G121" s="46">
        <v>3.0413215600000001</v>
      </c>
      <c r="H121" s="46">
        <v>1.39275565</v>
      </c>
      <c r="I121" s="46">
        <v>1.0028129800000001</v>
      </c>
      <c r="J121" s="46"/>
      <c r="K121" s="46" t="s">
        <v>31</v>
      </c>
      <c r="L121" s="46">
        <v>6.5954000000000002E-4</v>
      </c>
      <c r="M121" s="46">
        <v>1.1901E-2</v>
      </c>
      <c r="N121" s="46">
        <v>4.3536660000000005E-2</v>
      </c>
      <c r="V121" s="18"/>
      <c r="W121" s="18"/>
      <c r="X121" s="18"/>
      <c r="Y121" s="18"/>
      <c r="AA121" s="18"/>
      <c r="AB121" s="18"/>
      <c r="AC121" s="18"/>
      <c r="AF121" s="18"/>
      <c r="AG121" s="18"/>
      <c r="AH121" s="18"/>
    </row>
    <row r="122" spans="1:34" x14ac:dyDescent="0.35">
      <c r="A122" s="21" t="s">
        <v>118</v>
      </c>
      <c r="B122" s="46">
        <v>11.17652502</v>
      </c>
      <c r="C122" s="46">
        <v>9.6185549300000002</v>
      </c>
      <c r="D122" s="46">
        <v>9.9529537599999998</v>
      </c>
      <c r="E122" s="174"/>
      <c r="F122" s="46" t="s">
        <v>104</v>
      </c>
      <c r="G122" s="46">
        <v>1.1114141200000001</v>
      </c>
      <c r="H122" s="46">
        <v>2.0634104899999999</v>
      </c>
      <c r="I122" s="46">
        <v>0.97945824000000004</v>
      </c>
      <c r="J122" s="46"/>
      <c r="K122" s="46" t="s">
        <v>193</v>
      </c>
      <c r="L122" s="46">
        <v>9.2062110000000003E-2</v>
      </c>
      <c r="M122" s="46">
        <v>0.43867021</v>
      </c>
      <c r="N122" s="46">
        <v>3.3822350000000001E-2</v>
      </c>
      <c r="V122" s="18"/>
      <c r="W122" s="18"/>
      <c r="X122" s="18"/>
      <c r="Y122" s="18"/>
      <c r="AA122" s="18"/>
      <c r="AB122" s="18"/>
      <c r="AC122" s="18"/>
      <c r="AF122" s="18"/>
      <c r="AG122" s="18"/>
      <c r="AH122" s="18"/>
    </row>
    <row r="123" spans="1:34" x14ac:dyDescent="0.35">
      <c r="A123" s="21" t="s">
        <v>132</v>
      </c>
      <c r="B123" s="46">
        <v>26.396387989999997</v>
      </c>
      <c r="C123" s="46">
        <v>25.52659057</v>
      </c>
      <c r="D123" s="46">
        <v>9.8314537400000095</v>
      </c>
      <c r="E123" s="174"/>
      <c r="F123" s="46" t="s">
        <v>24</v>
      </c>
      <c r="G123" s="46">
        <v>0.10338228999999999</v>
      </c>
      <c r="H123" s="46">
        <v>0.41796358</v>
      </c>
      <c r="I123" s="46">
        <v>0.95656906999999991</v>
      </c>
      <c r="J123" s="46"/>
      <c r="K123" s="46" t="s">
        <v>78</v>
      </c>
      <c r="L123" s="46">
        <v>0</v>
      </c>
      <c r="M123" s="46">
        <v>1.078E-3</v>
      </c>
      <c r="N123" s="46">
        <v>2.750147E-2</v>
      </c>
      <c r="V123" s="18"/>
      <c r="W123" s="18"/>
      <c r="X123" s="18"/>
      <c r="Y123" s="18"/>
      <c r="AA123" s="18"/>
      <c r="AB123" s="18"/>
      <c r="AC123" s="18"/>
      <c r="AF123" s="18"/>
      <c r="AG123" s="18"/>
      <c r="AH123" s="18"/>
    </row>
    <row r="124" spans="1:34" x14ac:dyDescent="0.35">
      <c r="A124" s="21" t="s">
        <v>88</v>
      </c>
      <c r="B124" s="46">
        <v>10.233401929999999</v>
      </c>
      <c r="C124" s="46">
        <v>12.831326630000001</v>
      </c>
      <c r="D124" s="46">
        <v>9.8004370999999999</v>
      </c>
      <c r="E124" s="174"/>
      <c r="F124" s="46" t="s">
        <v>167</v>
      </c>
      <c r="G124" s="46">
        <v>0.66764389000000002</v>
      </c>
      <c r="H124" s="46">
        <v>0.33729583000000002</v>
      </c>
      <c r="I124" s="46">
        <v>0.91989131000000002</v>
      </c>
      <c r="J124" s="46"/>
      <c r="K124" s="46" t="s">
        <v>70</v>
      </c>
      <c r="L124" s="46">
        <v>1.6798380000000002E-2</v>
      </c>
      <c r="M124" s="46">
        <v>0</v>
      </c>
      <c r="N124" s="46">
        <v>2.3413750000000001E-2</v>
      </c>
      <c r="V124" s="18"/>
      <c r="W124" s="18"/>
      <c r="X124" s="18"/>
      <c r="Y124" s="18"/>
      <c r="AA124" s="18"/>
      <c r="AB124" s="18"/>
      <c r="AC124" s="18"/>
      <c r="AF124" s="18"/>
      <c r="AG124" s="18"/>
      <c r="AH124" s="18"/>
    </row>
    <row r="125" spans="1:34" x14ac:dyDescent="0.35">
      <c r="A125" s="21" t="s">
        <v>64</v>
      </c>
      <c r="B125" s="46">
        <v>11.762740920000001</v>
      </c>
      <c r="C125" s="46">
        <v>9.0081898800000015</v>
      </c>
      <c r="D125" s="46">
        <v>9.4800253399999992</v>
      </c>
      <c r="E125" s="174"/>
      <c r="F125" s="46" t="s">
        <v>214</v>
      </c>
      <c r="G125" s="46">
        <v>1.0573360300000001</v>
      </c>
      <c r="H125" s="46">
        <v>0.99737693000000005</v>
      </c>
      <c r="I125" s="46">
        <v>0.89995331999999995</v>
      </c>
      <c r="J125" s="46"/>
      <c r="K125" s="46" t="s">
        <v>155</v>
      </c>
      <c r="L125" s="46">
        <v>7.3298950000000002E-2</v>
      </c>
      <c r="M125" s="46">
        <v>9.1948539999999995E-2</v>
      </c>
      <c r="N125" s="46">
        <v>2.2732099999999998E-2</v>
      </c>
      <c r="V125" s="18"/>
      <c r="W125" s="18"/>
      <c r="X125" s="18"/>
      <c r="Y125" s="18"/>
      <c r="AA125" s="18"/>
      <c r="AB125" s="18"/>
      <c r="AC125" s="18"/>
      <c r="AF125" s="18"/>
      <c r="AG125" s="18"/>
      <c r="AH125" s="18"/>
    </row>
    <row r="126" spans="1:34" x14ac:dyDescent="0.35">
      <c r="A126" s="21" t="s">
        <v>196</v>
      </c>
      <c r="B126" s="46">
        <v>12.13976918</v>
      </c>
      <c r="C126" s="46">
        <v>13.78273761</v>
      </c>
      <c r="D126" s="46">
        <v>9.3602718200000101</v>
      </c>
      <c r="E126" s="174"/>
      <c r="F126" s="46" t="s">
        <v>95</v>
      </c>
      <c r="G126" s="46">
        <v>4.2712203799999999</v>
      </c>
      <c r="H126" s="46">
        <v>5.0413678600000003</v>
      </c>
      <c r="I126" s="46">
        <v>0.87741294999999997</v>
      </c>
      <c r="J126" s="46"/>
      <c r="K126" s="46" t="s">
        <v>182</v>
      </c>
      <c r="L126" s="46">
        <v>2.1050999999999999E-3</v>
      </c>
      <c r="M126" s="46">
        <v>4.3559899999999997E-3</v>
      </c>
      <c r="N126" s="46">
        <v>2.2168380000000001E-2</v>
      </c>
      <c r="V126" s="18"/>
      <c r="W126" s="18"/>
      <c r="X126" s="18"/>
      <c r="Y126" s="18"/>
      <c r="AA126" s="18"/>
      <c r="AB126" s="18"/>
      <c r="AC126" s="18"/>
      <c r="AF126" s="18"/>
      <c r="AG126" s="18"/>
      <c r="AH126" s="18"/>
    </row>
    <row r="127" spans="1:34" x14ac:dyDescent="0.35">
      <c r="A127" s="21" t="s">
        <v>164</v>
      </c>
      <c r="B127" s="46">
        <v>4.4474799699999998</v>
      </c>
      <c r="C127" s="46">
        <v>5.08903306000001</v>
      </c>
      <c r="D127" s="46">
        <v>8.7177409700000101</v>
      </c>
      <c r="E127" s="174"/>
      <c r="F127" s="46" t="s">
        <v>93</v>
      </c>
      <c r="G127" s="46">
        <v>0.33471754999999997</v>
      </c>
      <c r="H127" s="46">
        <v>0.16448052999999999</v>
      </c>
      <c r="I127" s="46">
        <v>0.86870786</v>
      </c>
      <c r="J127" s="46"/>
      <c r="K127" s="46" t="s">
        <v>62</v>
      </c>
      <c r="L127" s="46">
        <v>9.2931179999999988E-2</v>
      </c>
      <c r="M127" s="46">
        <v>8.213775999999999E-2</v>
      </c>
      <c r="N127" s="46">
        <v>2.0806130000000003E-2</v>
      </c>
      <c r="V127" s="18"/>
      <c r="W127" s="18"/>
      <c r="X127" s="18"/>
      <c r="Y127" s="18"/>
      <c r="AA127" s="18"/>
      <c r="AB127" s="18"/>
      <c r="AC127" s="18"/>
      <c r="AF127" s="18"/>
      <c r="AG127" s="18"/>
      <c r="AH127" s="18"/>
    </row>
    <row r="128" spans="1:34" x14ac:dyDescent="0.35">
      <c r="A128" s="21" t="s">
        <v>377</v>
      </c>
      <c r="B128" s="46">
        <v>3.4566409300000003</v>
      </c>
      <c r="C128" s="46">
        <v>8.12045846</v>
      </c>
      <c r="D128" s="46">
        <v>8.54626135</v>
      </c>
      <c r="E128" s="174"/>
      <c r="F128" s="46" t="s">
        <v>195</v>
      </c>
      <c r="G128" s="46">
        <v>1.6602787299999999</v>
      </c>
      <c r="H128" s="46">
        <v>0.64798407999999996</v>
      </c>
      <c r="I128" s="46">
        <v>0.86274670999999992</v>
      </c>
      <c r="J128" s="46"/>
      <c r="K128" s="46" t="s">
        <v>685</v>
      </c>
      <c r="L128" s="46">
        <v>9.5622599999999995E-3</v>
      </c>
      <c r="M128" s="46">
        <v>5.4965839999999995E-2</v>
      </c>
      <c r="N128" s="46">
        <v>1.8666749999999999E-2</v>
      </c>
      <c r="V128" s="18"/>
      <c r="W128" s="18"/>
      <c r="X128" s="18"/>
      <c r="Y128" s="18"/>
      <c r="AA128" s="18"/>
      <c r="AB128" s="18"/>
      <c r="AC128" s="18"/>
      <c r="AF128" s="18"/>
      <c r="AG128" s="18"/>
      <c r="AH128" s="18"/>
    </row>
    <row r="129" spans="1:34" x14ac:dyDescent="0.35">
      <c r="A129" s="21" t="s">
        <v>59</v>
      </c>
      <c r="B129" s="46">
        <v>4.0232749400000003</v>
      </c>
      <c r="C129" s="46">
        <v>7.63852843</v>
      </c>
      <c r="D129" s="46">
        <v>8.5291051199999988</v>
      </c>
      <c r="E129" s="174"/>
      <c r="F129" s="46" t="s">
        <v>120</v>
      </c>
      <c r="G129" s="46">
        <v>0.53408964999999997</v>
      </c>
      <c r="H129" s="46">
        <v>0.24829909</v>
      </c>
      <c r="I129" s="46">
        <v>0.81536518000000002</v>
      </c>
      <c r="J129" s="46"/>
      <c r="K129" s="46" t="s">
        <v>76</v>
      </c>
      <c r="L129" s="46">
        <v>0.36287390999999997</v>
      </c>
      <c r="M129" s="46">
        <v>8.869254E-2</v>
      </c>
      <c r="N129" s="46">
        <v>1.7624520000000001E-2</v>
      </c>
      <c r="V129" s="18"/>
      <c r="W129" s="18"/>
      <c r="X129" s="18"/>
      <c r="Y129" s="18"/>
      <c r="AA129" s="18"/>
      <c r="AB129" s="18"/>
      <c r="AC129" s="18"/>
      <c r="AF129" s="18"/>
      <c r="AG129" s="18"/>
      <c r="AH129" s="18"/>
    </row>
    <row r="130" spans="1:34" x14ac:dyDescent="0.35">
      <c r="A130" s="21" t="s">
        <v>95</v>
      </c>
      <c r="B130" s="46">
        <v>8.2397054800000102</v>
      </c>
      <c r="C130" s="46">
        <v>10.280192130000001</v>
      </c>
      <c r="D130" s="46">
        <v>8.5047929600000103</v>
      </c>
      <c r="E130" s="174"/>
      <c r="F130" s="46" t="s">
        <v>13</v>
      </c>
      <c r="G130" s="46">
        <v>6.3769600000000001E-3</v>
      </c>
      <c r="H130" s="46">
        <v>3.2824319999999997E-2</v>
      </c>
      <c r="I130" s="46">
        <v>0.81098256999999996</v>
      </c>
      <c r="J130" s="46"/>
      <c r="K130" s="46" t="s">
        <v>25</v>
      </c>
      <c r="L130" s="46">
        <v>5.6191800000000005E-3</v>
      </c>
      <c r="M130" s="46">
        <v>4.0579259999999999E-2</v>
      </c>
      <c r="N130" s="46">
        <v>1.5355780000000001E-2</v>
      </c>
      <c r="V130" s="18"/>
      <c r="W130" s="18"/>
      <c r="X130" s="18"/>
      <c r="Y130" s="18"/>
      <c r="AA130" s="18"/>
      <c r="AB130" s="18"/>
      <c r="AC130" s="18"/>
      <c r="AF130" s="18"/>
      <c r="AG130" s="18"/>
      <c r="AH130" s="18"/>
    </row>
    <row r="131" spans="1:34" x14ac:dyDescent="0.35">
      <c r="A131" s="21" t="s">
        <v>63</v>
      </c>
      <c r="B131" s="46">
        <v>10.262506310000001</v>
      </c>
      <c r="C131" s="46">
        <v>11.133650449999999</v>
      </c>
      <c r="D131" s="46">
        <v>7.9040909800000003</v>
      </c>
      <c r="E131" s="174"/>
      <c r="F131" s="46" t="s">
        <v>78</v>
      </c>
      <c r="G131" s="46">
        <v>1.3964091000000001</v>
      </c>
      <c r="H131" s="46">
        <v>0.93946412000000001</v>
      </c>
      <c r="I131" s="46">
        <v>0.75194179999999999</v>
      </c>
      <c r="J131" s="46"/>
      <c r="K131" s="46" t="s">
        <v>371</v>
      </c>
      <c r="L131" s="46">
        <v>1.6010499999999999E-3</v>
      </c>
      <c r="M131" s="46">
        <v>1.1766299999999999E-2</v>
      </c>
      <c r="N131" s="46">
        <v>1.084592E-2</v>
      </c>
      <c r="V131" s="18"/>
      <c r="W131" s="18"/>
      <c r="X131" s="18"/>
      <c r="Y131" s="18"/>
      <c r="AA131" s="18"/>
      <c r="AB131" s="18"/>
      <c r="AC131" s="18"/>
      <c r="AF131" s="18"/>
      <c r="AG131" s="18"/>
      <c r="AH131" s="18"/>
    </row>
    <row r="132" spans="1:34" x14ac:dyDescent="0.35">
      <c r="A132" s="21" t="s">
        <v>11</v>
      </c>
      <c r="B132" s="46">
        <v>11.64810881</v>
      </c>
      <c r="C132" s="46">
        <v>7.2768120600000099</v>
      </c>
      <c r="D132" s="46">
        <v>7.3849233700000108</v>
      </c>
      <c r="E132" s="174"/>
      <c r="F132" s="46" t="s">
        <v>181</v>
      </c>
      <c r="G132" s="46">
        <v>0.35122817000000001</v>
      </c>
      <c r="H132" s="46">
        <v>1.18087436</v>
      </c>
      <c r="I132" s="46">
        <v>0.75182241000000005</v>
      </c>
      <c r="J132" s="46"/>
      <c r="K132" s="46" t="s">
        <v>98</v>
      </c>
      <c r="L132" s="46">
        <v>5.001535E-2</v>
      </c>
      <c r="M132" s="46">
        <v>1.428431E-2</v>
      </c>
      <c r="N132" s="46">
        <v>9.9711499999999998E-3</v>
      </c>
      <c r="V132" s="18"/>
      <c r="W132" s="18"/>
      <c r="X132" s="18"/>
      <c r="Y132" s="18"/>
      <c r="AA132" s="18"/>
      <c r="AB132" s="18"/>
      <c r="AC132" s="18"/>
      <c r="AF132" s="18"/>
      <c r="AG132" s="18"/>
      <c r="AH132" s="18"/>
    </row>
    <row r="133" spans="1:34" x14ac:dyDescent="0.35">
      <c r="A133" s="21" t="s">
        <v>71</v>
      </c>
      <c r="B133" s="46">
        <v>10.60581212</v>
      </c>
      <c r="C133" s="46">
        <v>10.370174179999999</v>
      </c>
      <c r="D133" s="46">
        <v>7.1378721199999999</v>
      </c>
      <c r="E133" s="174"/>
      <c r="F133" s="46" t="s">
        <v>380</v>
      </c>
      <c r="G133" s="46">
        <v>17.892419489999998</v>
      </c>
      <c r="H133" s="46">
        <v>0</v>
      </c>
      <c r="I133" s="46">
        <v>0.71905397999999998</v>
      </c>
      <c r="J133" s="46"/>
      <c r="K133" s="46" t="s">
        <v>122</v>
      </c>
      <c r="L133" s="46">
        <v>1.5337479999999999E-2</v>
      </c>
      <c r="M133" s="46">
        <v>0</v>
      </c>
      <c r="N133" s="46">
        <v>9.5177900000000017E-3</v>
      </c>
      <c r="V133" s="18"/>
      <c r="W133" s="18"/>
      <c r="X133" s="18"/>
      <c r="Y133" s="18"/>
      <c r="AA133" s="18"/>
      <c r="AB133" s="18"/>
      <c r="AC133" s="18"/>
      <c r="AF133" s="18"/>
      <c r="AG133" s="18"/>
      <c r="AH133" s="18"/>
    </row>
    <row r="134" spans="1:34" x14ac:dyDescent="0.35">
      <c r="A134" s="21" t="s">
        <v>123</v>
      </c>
      <c r="B134" s="46">
        <v>8.3512584800000003</v>
      </c>
      <c r="C134" s="46">
        <v>8.7779391600000007</v>
      </c>
      <c r="D134" s="46">
        <v>7.0080800500000002</v>
      </c>
      <c r="E134" s="174"/>
      <c r="F134" s="46" t="s">
        <v>349</v>
      </c>
      <c r="G134" s="46">
        <v>1.7000699999999999E-3</v>
      </c>
      <c r="H134" s="46">
        <v>0</v>
      </c>
      <c r="I134" s="46">
        <v>0.70915426000000004</v>
      </c>
      <c r="J134" s="46"/>
      <c r="K134" s="46" t="s">
        <v>153</v>
      </c>
      <c r="L134" s="46">
        <v>0</v>
      </c>
      <c r="M134" s="46">
        <v>2.4218400000000002E-3</v>
      </c>
      <c r="N134" s="46">
        <v>9.3721100000000012E-3</v>
      </c>
      <c r="V134" s="18"/>
      <c r="W134" s="18"/>
      <c r="X134" s="18"/>
      <c r="Y134" s="18"/>
      <c r="AA134" s="18"/>
      <c r="AB134" s="18"/>
      <c r="AC134" s="18"/>
      <c r="AF134" s="18"/>
      <c r="AG134" s="18"/>
      <c r="AH134" s="18"/>
    </row>
    <row r="135" spans="1:34" x14ac:dyDescent="0.35">
      <c r="A135" s="21" t="s">
        <v>351</v>
      </c>
      <c r="B135" s="46">
        <v>1.1827734399999998</v>
      </c>
      <c r="C135" s="46">
        <v>0.27465640000000002</v>
      </c>
      <c r="D135" s="46">
        <v>6.8762902199999996</v>
      </c>
      <c r="E135" s="174"/>
      <c r="F135" s="46" t="s">
        <v>125</v>
      </c>
      <c r="G135" s="46">
        <v>88.967811459999993</v>
      </c>
      <c r="H135" s="46">
        <v>23.679364170000003</v>
      </c>
      <c r="I135" s="46">
        <v>0.69569921999999995</v>
      </c>
      <c r="J135" s="46"/>
      <c r="K135" s="46" t="s">
        <v>23</v>
      </c>
      <c r="L135" s="46">
        <v>4.4979000000000004E-4</v>
      </c>
      <c r="M135" s="46">
        <v>5.5611200000000001E-3</v>
      </c>
      <c r="N135" s="46">
        <v>9.1499599999999986E-3</v>
      </c>
      <c r="V135" s="18"/>
      <c r="W135" s="18"/>
      <c r="X135" s="18"/>
      <c r="Y135" s="18"/>
      <c r="AA135" s="18"/>
      <c r="AB135" s="18"/>
      <c r="AC135" s="18"/>
      <c r="AF135" s="18"/>
      <c r="AG135" s="18"/>
      <c r="AH135" s="18"/>
    </row>
    <row r="136" spans="1:34" x14ac:dyDescent="0.35">
      <c r="A136" s="21" t="s">
        <v>187</v>
      </c>
      <c r="B136" s="46">
        <v>6.3784211200000005</v>
      </c>
      <c r="C136" s="46">
        <v>3.5605843999999998</v>
      </c>
      <c r="D136" s="46">
        <v>6.8572087300000009</v>
      </c>
      <c r="E136" s="174"/>
      <c r="F136" s="46" t="s">
        <v>153</v>
      </c>
      <c r="G136" s="46">
        <v>0.32264908000000003</v>
      </c>
      <c r="H136" s="46">
        <v>0.22305142</v>
      </c>
      <c r="I136" s="46">
        <v>0.65396483999999999</v>
      </c>
      <c r="J136" s="46"/>
      <c r="K136" s="46" t="s">
        <v>91</v>
      </c>
      <c r="L136" s="46">
        <v>4.6050839999999996E-2</v>
      </c>
      <c r="M136" s="46">
        <v>2.541914E-2</v>
      </c>
      <c r="N136" s="46">
        <v>8.642229999999999E-3</v>
      </c>
      <c r="V136" s="18"/>
      <c r="W136" s="18"/>
      <c r="X136" s="18"/>
      <c r="Y136" s="18"/>
      <c r="AA136" s="18"/>
      <c r="AB136" s="18"/>
      <c r="AC136" s="18"/>
      <c r="AF136" s="18"/>
      <c r="AG136" s="18"/>
      <c r="AH136" s="18"/>
    </row>
    <row r="137" spans="1:34" x14ac:dyDescent="0.35">
      <c r="A137" s="21" t="s">
        <v>126</v>
      </c>
      <c r="B137" s="46">
        <v>16.570045830000002</v>
      </c>
      <c r="C137" s="46">
        <v>7.1879383600000004</v>
      </c>
      <c r="D137" s="46">
        <v>6.8521855899999995</v>
      </c>
      <c r="E137" s="174"/>
      <c r="F137" s="46" t="s">
        <v>207</v>
      </c>
      <c r="G137" s="46">
        <v>2.1904364799999998</v>
      </c>
      <c r="H137" s="46">
        <v>1.3123048899999998</v>
      </c>
      <c r="I137" s="46">
        <v>0.64059162000000003</v>
      </c>
      <c r="J137" s="46"/>
      <c r="K137" s="46" t="s">
        <v>29</v>
      </c>
      <c r="L137" s="46">
        <v>2.2550600000000001E-3</v>
      </c>
      <c r="M137" s="46">
        <v>5.8785400000000002E-2</v>
      </c>
      <c r="N137" s="46">
        <v>7.7006499999999999E-3</v>
      </c>
      <c r="V137" s="18"/>
      <c r="W137" s="18"/>
      <c r="X137" s="18"/>
      <c r="Y137" s="18"/>
      <c r="AA137" s="18"/>
      <c r="AB137" s="18"/>
      <c r="AC137" s="18"/>
      <c r="AF137" s="18"/>
      <c r="AG137" s="18"/>
      <c r="AH137" s="18"/>
    </row>
    <row r="138" spans="1:34" x14ac:dyDescent="0.35">
      <c r="A138" s="21" t="s">
        <v>161</v>
      </c>
      <c r="B138" s="46">
        <v>10.932884210000001</v>
      </c>
      <c r="C138" s="46">
        <v>5.0107945000000003</v>
      </c>
      <c r="D138" s="46">
        <v>6.7615652699999904</v>
      </c>
      <c r="E138" s="174"/>
      <c r="F138" s="46" t="s">
        <v>191</v>
      </c>
      <c r="G138" s="46">
        <v>0.18995123999999999</v>
      </c>
      <c r="H138" s="46">
        <v>0.54187247999999999</v>
      </c>
      <c r="I138" s="46">
        <v>0.62723160999999994</v>
      </c>
      <c r="J138" s="46"/>
      <c r="K138" s="46" t="s">
        <v>75</v>
      </c>
      <c r="L138" s="46">
        <v>9.3832099999999995E-3</v>
      </c>
      <c r="M138" s="46">
        <v>3.5164099999999997E-2</v>
      </c>
      <c r="N138" s="46">
        <v>7.5011800000000005E-3</v>
      </c>
      <c r="V138" s="18"/>
      <c r="W138" s="18"/>
      <c r="X138" s="18"/>
      <c r="Y138" s="18"/>
      <c r="AA138" s="18"/>
      <c r="AB138" s="18"/>
      <c r="AC138" s="18"/>
      <c r="AF138" s="18"/>
      <c r="AG138" s="18"/>
      <c r="AH138" s="18"/>
    </row>
    <row r="139" spans="1:34" x14ac:dyDescent="0.35">
      <c r="A139" s="21" t="s">
        <v>100</v>
      </c>
      <c r="B139" s="46">
        <v>13.53987527</v>
      </c>
      <c r="C139" s="46">
        <v>8.9662266600000002</v>
      </c>
      <c r="D139" s="46">
        <v>6.3883789400000008</v>
      </c>
      <c r="E139" s="174"/>
      <c r="F139" s="46" t="s">
        <v>210</v>
      </c>
      <c r="G139" s="46">
        <v>0.22643580999999999</v>
      </c>
      <c r="H139" s="46">
        <v>0.16235848</v>
      </c>
      <c r="I139" s="46">
        <v>0.55815593999999991</v>
      </c>
      <c r="J139" s="46"/>
      <c r="K139" s="46" t="s">
        <v>349</v>
      </c>
      <c r="L139" s="46">
        <v>6.6085100000000006E-3</v>
      </c>
      <c r="M139" s="46">
        <v>9.1173299999999999E-3</v>
      </c>
      <c r="N139" s="46">
        <v>7.1198400000000005E-3</v>
      </c>
      <c r="V139" s="18"/>
      <c r="W139" s="18"/>
      <c r="X139" s="18"/>
      <c r="Y139" s="18"/>
      <c r="AA139" s="18"/>
      <c r="AB139" s="18"/>
      <c r="AC139" s="18"/>
      <c r="AF139" s="18"/>
      <c r="AG139" s="18"/>
      <c r="AH139" s="18"/>
    </row>
    <row r="140" spans="1:34" x14ac:dyDescent="0.35">
      <c r="A140" s="21" t="s">
        <v>57</v>
      </c>
      <c r="B140" s="46">
        <v>2.4583126399999999</v>
      </c>
      <c r="C140" s="46">
        <v>1.25415491</v>
      </c>
      <c r="D140" s="46">
        <v>6.04954474</v>
      </c>
      <c r="E140" s="174"/>
      <c r="F140" s="46" t="s">
        <v>25</v>
      </c>
      <c r="G140" s="46">
        <v>2.9368259999999997E-2</v>
      </c>
      <c r="H140" s="46">
        <v>3.5748620000000002E-2</v>
      </c>
      <c r="I140" s="46">
        <v>0.52954145999999991</v>
      </c>
      <c r="J140" s="46"/>
      <c r="K140" s="46" t="s">
        <v>148</v>
      </c>
      <c r="L140" s="46">
        <v>0</v>
      </c>
      <c r="M140" s="46">
        <v>8.5582599999999998E-3</v>
      </c>
      <c r="N140" s="46">
        <v>6.4145499999999998E-3</v>
      </c>
      <c r="V140" s="18"/>
      <c r="W140" s="18"/>
      <c r="X140" s="18"/>
      <c r="Y140" s="18"/>
      <c r="AA140" s="18"/>
      <c r="AB140" s="18"/>
      <c r="AC140" s="18"/>
      <c r="AF140" s="18"/>
      <c r="AG140" s="18"/>
      <c r="AH140" s="18"/>
    </row>
    <row r="141" spans="1:34" x14ac:dyDescent="0.35">
      <c r="A141" s="21" t="s">
        <v>375</v>
      </c>
      <c r="B141" s="46">
        <v>6.0281803800000002</v>
      </c>
      <c r="C141" s="46">
        <v>5.8922851300000003</v>
      </c>
      <c r="D141" s="46">
        <v>5.9221085000000002</v>
      </c>
      <c r="E141" s="174"/>
      <c r="F141" s="46" t="s">
        <v>9</v>
      </c>
      <c r="G141" s="46">
        <v>0.29565285999999996</v>
      </c>
      <c r="H141" s="46">
        <v>8.9424809999999993E-2</v>
      </c>
      <c r="I141" s="46">
        <v>0.50053095000000003</v>
      </c>
      <c r="J141" s="46"/>
      <c r="K141" s="46" t="s">
        <v>30</v>
      </c>
      <c r="L141" s="46">
        <v>3.0502619999999998E-2</v>
      </c>
      <c r="M141" s="46">
        <v>3.3631500000000001E-3</v>
      </c>
      <c r="N141" s="46">
        <v>6.0341700000000002E-3</v>
      </c>
      <c r="V141" s="18"/>
      <c r="W141" s="18"/>
      <c r="X141" s="18"/>
      <c r="Y141" s="18"/>
      <c r="AA141" s="18"/>
      <c r="AB141" s="18"/>
      <c r="AC141" s="18"/>
      <c r="AF141" s="18"/>
      <c r="AG141" s="18"/>
      <c r="AH141" s="18"/>
    </row>
    <row r="142" spans="1:34" x14ac:dyDescent="0.35">
      <c r="A142" s="21" t="s">
        <v>147</v>
      </c>
      <c r="B142" s="46">
        <v>4.0342541399999998</v>
      </c>
      <c r="C142" s="46">
        <v>3.1145058199999998</v>
      </c>
      <c r="D142" s="46">
        <v>5.8307794900000003</v>
      </c>
      <c r="E142" s="174"/>
      <c r="F142" s="46" t="s">
        <v>192</v>
      </c>
      <c r="G142" s="46">
        <v>0.13938718</v>
      </c>
      <c r="H142" s="46">
        <v>0.25467063000000001</v>
      </c>
      <c r="I142" s="46">
        <v>0.43673832000000001</v>
      </c>
      <c r="J142" s="46"/>
      <c r="K142" s="46" t="s">
        <v>114</v>
      </c>
      <c r="L142" s="46">
        <v>1.3137860000000001E-2</v>
      </c>
      <c r="M142" s="46">
        <v>1.22273E-3</v>
      </c>
      <c r="N142" s="46">
        <v>5.5802500000000001E-3</v>
      </c>
      <c r="V142" s="18"/>
      <c r="W142" s="18"/>
      <c r="X142" s="18"/>
      <c r="Y142" s="18"/>
      <c r="AA142" s="18"/>
      <c r="AB142" s="18"/>
      <c r="AC142" s="18"/>
      <c r="AF142" s="18"/>
      <c r="AG142" s="18"/>
      <c r="AH142" s="18"/>
    </row>
    <row r="143" spans="1:34" x14ac:dyDescent="0.35">
      <c r="A143" s="21" t="s">
        <v>67</v>
      </c>
      <c r="B143" s="46">
        <v>6.70357936</v>
      </c>
      <c r="C143" s="46">
        <v>4.9311999999999996</v>
      </c>
      <c r="D143" s="46">
        <v>5.6647537199999993</v>
      </c>
      <c r="E143" s="174"/>
      <c r="F143" s="46" t="s">
        <v>114</v>
      </c>
      <c r="G143" s="46">
        <v>0.49766705</v>
      </c>
      <c r="H143" s="46">
        <v>0.74881158999999997</v>
      </c>
      <c r="I143" s="46">
        <v>0.41513576000000002</v>
      </c>
      <c r="J143" s="46"/>
      <c r="K143" s="46" t="s">
        <v>109</v>
      </c>
      <c r="L143" s="46">
        <v>2.1180910000000001E-2</v>
      </c>
      <c r="M143" s="46">
        <v>4.3486200000000001E-3</v>
      </c>
      <c r="N143" s="46">
        <v>5.1419899999999999E-3</v>
      </c>
      <c r="V143" s="18"/>
      <c r="W143" s="18"/>
      <c r="X143" s="18"/>
      <c r="Y143" s="18"/>
      <c r="AA143" s="18"/>
      <c r="AB143" s="18"/>
      <c r="AC143" s="18"/>
      <c r="AF143" s="18"/>
      <c r="AG143" s="18"/>
      <c r="AH143" s="18"/>
    </row>
    <row r="144" spans="1:34" x14ac:dyDescent="0.35">
      <c r="A144" s="21" t="s">
        <v>136</v>
      </c>
      <c r="B144" s="46">
        <v>5.3074933500000094</v>
      </c>
      <c r="C144" s="46">
        <v>6.1719989199999894</v>
      </c>
      <c r="D144" s="46">
        <v>5.4505684700000199</v>
      </c>
      <c r="E144" s="174"/>
      <c r="F144" s="46" t="s">
        <v>136</v>
      </c>
      <c r="G144" s="46">
        <v>0.60766525999999998</v>
      </c>
      <c r="H144" s="46">
        <v>0.64719432999999993</v>
      </c>
      <c r="I144" s="46">
        <v>0.37620195000000001</v>
      </c>
      <c r="J144" s="46"/>
      <c r="K144" s="46" t="s">
        <v>48</v>
      </c>
      <c r="L144" s="46">
        <v>1.0263889999999999E-2</v>
      </c>
      <c r="M144" s="46">
        <v>5.0124499999999999E-3</v>
      </c>
      <c r="N144" s="46">
        <v>4.7153000000000004E-3</v>
      </c>
      <c r="V144" s="18"/>
      <c r="W144" s="18"/>
      <c r="X144" s="18"/>
      <c r="Y144" s="18"/>
      <c r="AA144" s="18"/>
      <c r="AB144" s="18"/>
      <c r="AC144" s="18"/>
      <c r="AF144" s="18"/>
      <c r="AG144" s="18"/>
      <c r="AH144" s="18"/>
    </row>
    <row r="145" spans="1:34" x14ac:dyDescent="0.35">
      <c r="A145" s="21" t="s">
        <v>120</v>
      </c>
      <c r="B145" s="46">
        <v>3.9568522599999998</v>
      </c>
      <c r="C145" s="46">
        <v>4.8563518700000108</v>
      </c>
      <c r="D145" s="46">
        <v>5.1427112800000003</v>
      </c>
      <c r="E145" s="174"/>
      <c r="F145" s="46" t="s">
        <v>20</v>
      </c>
      <c r="G145" s="46">
        <v>0.22511579999999998</v>
      </c>
      <c r="H145" s="46">
        <v>0.15027219</v>
      </c>
      <c r="I145" s="46">
        <v>0.35915573000000001</v>
      </c>
      <c r="J145" s="46"/>
      <c r="K145" s="46" t="s">
        <v>35</v>
      </c>
      <c r="L145" s="46">
        <v>0</v>
      </c>
      <c r="M145" s="46">
        <v>0</v>
      </c>
      <c r="N145" s="46">
        <v>4.2164399999999993E-3</v>
      </c>
      <c r="V145" s="18"/>
      <c r="W145" s="18"/>
      <c r="X145" s="18"/>
      <c r="Y145" s="18"/>
      <c r="AA145" s="18"/>
      <c r="AB145" s="18"/>
      <c r="AC145" s="18"/>
      <c r="AF145" s="18"/>
      <c r="AG145" s="18"/>
      <c r="AH145" s="18"/>
    </row>
    <row r="146" spans="1:34" x14ac:dyDescent="0.35">
      <c r="A146" s="21" t="s">
        <v>215</v>
      </c>
      <c r="B146" s="46">
        <v>3.6909484300000002</v>
      </c>
      <c r="C146" s="46">
        <v>12.653106119999999</v>
      </c>
      <c r="D146" s="46">
        <v>5.0545412499999998</v>
      </c>
      <c r="E146" s="174"/>
      <c r="F146" s="46" t="s">
        <v>379</v>
      </c>
      <c r="G146" s="46">
        <v>1.3808104399999999</v>
      </c>
      <c r="H146" s="46">
        <v>2.2025262099999998</v>
      </c>
      <c r="I146" s="46">
        <v>0.33793454000000001</v>
      </c>
      <c r="J146" s="46"/>
      <c r="K146" s="46" t="s">
        <v>108</v>
      </c>
      <c r="L146" s="46">
        <v>2.391803E-2</v>
      </c>
      <c r="M146" s="46">
        <v>7.0879200000000002E-3</v>
      </c>
      <c r="N146" s="46">
        <v>3.9347000000000002E-3</v>
      </c>
      <c r="V146" s="18"/>
      <c r="W146" s="18"/>
      <c r="X146" s="18"/>
      <c r="Y146" s="18"/>
      <c r="AA146" s="18"/>
      <c r="AB146" s="18"/>
      <c r="AC146" s="18"/>
      <c r="AF146" s="18"/>
      <c r="AG146" s="18"/>
      <c r="AH146" s="18"/>
    </row>
    <row r="147" spans="1:34" x14ac:dyDescent="0.35">
      <c r="A147" s="21" t="s">
        <v>685</v>
      </c>
      <c r="B147" s="46">
        <v>3.7762238300000002</v>
      </c>
      <c r="C147" s="46">
        <v>7.0419905499999995</v>
      </c>
      <c r="D147" s="46">
        <v>4.9704734299999993</v>
      </c>
      <c r="E147" s="174"/>
      <c r="F147" s="46" t="s">
        <v>103</v>
      </c>
      <c r="G147" s="46">
        <v>6.5460870000000004E-2</v>
      </c>
      <c r="H147" s="46">
        <v>0.42004142999999999</v>
      </c>
      <c r="I147" s="46">
        <v>0.32750467</v>
      </c>
      <c r="J147" s="46"/>
      <c r="K147" s="46" t="s">
        <v>21</v>
      </c>
      <c r="L147" s="46">
        <v>7.0549999999999994E-5</v>
      </c>
      <c r="M147" s="46">
        <v>0</v>
      </c>
      <c r="N147" s="46">
        <v>3.7762800000000003E-3</v>
      </c>
      <c r="V147" s="18"/>
      <c r="W147" s="18"/>
      <c r="X147" s="18"/>
      <c r="Y147" s="18"/>
      <c r="AA147" s="18"/>
      <c r="AB147" s="18"/>
      <c r="AC147" s="18"/>
      <c r="AF147" s="18"/>
      <c r="AG147" s="18"/>
      <c r="AH147" s="18"/>
    </row>
    <row r="148" spans="1:34" x14ac:dyDescent="0.35">
      <c r="A148" s="21" t="s">
        <v>212</v>
      </c>
      <c r="B148" s="46">
        <v>3.9517531899999998</v>
      </c>
      <c r="C148" s="46">
        <v>4.4070091100000095</v>
      </c>
      <c r="D148" s="46">
        <v>4.9314306100000005</v>
      </c>
      <c r="E148" s="174"/>
      <c r="F148" s="46" t="s">
        <v>165</v>
      </c>
      <c r="G148" s="46">
        <v>0.55103844999999996</v>
      </c>
      <c r="H148" s="46">
        <v>0.31001122999999997</v>
      </c>
      <c r="I148" s="46">
        <v>0.32742233000000004</v>
      </c>
      <c r="J148" s="46"/>
      <c r="K148" s="46" t="s">
        <v>123</v>
      </c>
      <c r="L148" s="46">
        <v>0</v>
      </c>
      <c r="M148" s="46">
        <v>3.3824010000000002E-2</v>
      </c>
      <c r="N148" s="46">
        <v>3.5811100000000002E-3</v>
      </c>
      <c r="V148" s="18"/>
      <c r="W148" s="18"/>
      <c r="X148" s="18"/>
      <c r="Y148" s="18"/>
      <c r="AA148" s="18"/>
      <c r="AB148" s="18"/>
      <c r="AC148" s="18"/>
      <c r="AF148" s="18"/>
      <c r="AG148" s="18"/>
      <c r="AH148" s="18"/>
    </row>
    <row r="149" spans="1:34" x14ac:dyDescent="0.35">
      <c r="A149" s="21" t="s">
        <v>115</v>
      </c>
      <c r="B149" s="46">
        <v>9.8759936699999997</v>
      </c>
      <c r="C149" s="46">
        <v>8.9930166499999995</v>
      </c>
      <c r="D149" s="46">
        <v>4.9113935300000007</v>
      </c>
      <c r="E149" s="174"/>
      <c r="F149" s="46" t="s">
        <v>199</v>
      </c>
      <c r="G149" s="46">
        <v>4.2867870000000002E-2</v>
      </c>
      <c r="H149" s="46">
        <v>5.5435427599999993</v>
      </c>
      <c r="I149" s="46">
        <v>0.32078717000000001</v>
      </c>
      <c r="J149" s="46"/>
      <c r="K149" s="46" t="s">
        <v>86</v>
      </c>
      <c r="L149" s="46">
        <v>0</v>
      </c>
      <c r="M149" s="46">
        <v>0</v>
      </c>
      <c r="N149" s="46">
        <v>3.4265900000000002E-3</v>
      </c>
      <c r="V149" s="18"/>
      <c r="W149" s="18"/>
      <c r="X149" s="18"/>
      <c r="Y149" s="18"/>
      <c r="AA149" s="18"/>
      <c r="AB149" s="18"/>
      <c r="AC149" s="18"/>
      <c r="AF149" s="18"/>
      <c r="AG149" s="18"/>
      <c r="AH149" s="18"/>
    </row>
    <row r="150" spans="1:34" x14ac:dyDescent="0.35">
      <c r="A150" s="21" t="s">
        <v>150</v>
      </c>
      <c r="B150" s="46">
        <v>2.96133428</v>
      </c>
      <c r="C150" s="46">
        <v>5.5514041600000006</v>
      </c>
      <c r="D150" s="46">
        <v>4.7941163200000005</v>
      </c>
      <c r="E150" s="174"/>
      <c r="F150" s="46" t="s">
        <v>372</v>
      </c>
      <c r="G150" s="46">
        <v>0</v>
      </c>
      <c r="H150" s="46">
        <v>0</v>
      </c>
      <c r="I150" s="46">
        <v>0.30979660999999997</v>
      </c>
      <c r="J150" s="46"/>
      <c r="K150" s="46" t="s">
        <v>43</v>
      </c>
      <c r="L150" s="46">
        <v>3.73603E-3</v>
      </c>
      <c r="M150" s="46">
        <v>1.7296E-3</v>
      </c>
      <c r="N150" s="46">
        <v>2.98978E-3</v>
      </c>
      <c r="V150" s="18"/>
      <c r="W150" s="18"/>
      <c r="X150" s="18"/>
      <c r="Y150" s="18"/>
      <c r="AA150" s="18"/>
      <c r="AB150" s="18"/>
      <c r="AC150" s="18"/>
      <c r="AF150" s="18"/>
      <c r="AG150" s="18"/>
      <c r="AH150" s="18"/>
    </row>
    <row r="151" spans="1:34" x14ac:dyDescent="0.35">
      <c r="A151" s="21" t="s">
        <v>6</v>
      </c>
      <c r="B151" s="46">
        <v>2.41749562</v>
      </c>
      <c r="C151" s="46">
        <v>5.9667617599999998</v>
      </c>
      <c r="D151" s="46">
        <v>4.5308103300000004</v>
      </c>
      <c r="E151" s="174"/>
      <c r="F151" s="46" t="s">
        <v>50</v>
      </c>
      <c r="G151" s="46">
        <v>0.33638846999999999</v>
      </c>
      <c r="H151" s="46">
        <v>7.7608880000000005E-2</v>
      </c>
      <c r="I151" s="46">
        <v>0.26465662000000001</v>
      </c>
      <c r="J151" s="46"/>
      <c r="K151" s="46" t="s">
        <v>354</v>
      </c>
      <c r="L151" s="46">
        <v>0</v>
      </c>
      <c r="M151" s="46">
        <v>2.2031000000000001E-4</v>
      </c>
      <c r="N151" s="46">
        <v>2.49709E-3</v>
      </c>
      <c r="V151" s="18"/>
      <c r="W151" s="18"/>
      <c r="X151" s="18"/>
      <c r="Y151" s="18"/>
      <c r="AA151" s="18"/>
      <c r="AB151" s="18"/>
      <c r="AC151" s="18"/>
      <c r="AF151" s="18"/>
      <c r="AG151" s="18"/>
      <c r="AH151" s="18"/>
    </row>
    <row r="152" spans="1:34" x14ac:dyDescent="0.35">
      <c r="A152" s="21" t="s">
        <v>129</v>
      </c>
      <c r="B152" s="46">
        <v>4.7121360000000001</v>
      </c>
      <c r="C152" s="46">
        <v>3.03349672</v>
      </c>
      <c r="D152" s="46">
        <v>4.0540839700000006</v>
      </c>
      <c r="E152" s="174"/>
      <c r="F152" s="46" t="s">
        <v>19</v>
      </c>
      <c r="G152" s="46">
        <v>0.20682285</v>
      </c>
      <c r="H152" s="46">
        <v>0.29039155999999999</v>
      </c>
      <c r="I152" s="46">
        <v>0.24359196</v>
      </c>
      <c r="J152" s="46"/>
      <c r="K152" s="46" t="s">
        <v>92</v>
      </c>
      <c r="L152" s="46">
        <v>0</v>
      </c>
      <c r="M152" s="46">
        <v>2.0075900000000001E-3</v>
      </c>
      <c r="N152" s="46">
        <v>2.3333799999999999E-3</v>
      </c>
      <c r="V152" s="18"/>
      <c r="W152" s="18"/>
      <c r="X152" s="18"/>
      <c r="Y152" s="18"/>
      <c r="AA152" s="18"/>
      <c r="AB152" s="18"/>
      <c r="AC152" s="18"/>
      <c r="AF152" s="18"/>
      <c r="AG152" s="18"/>
      <c r="AH152" s="18"/>
    </row>
    <row r="153" spans="1:34" x14ac:dyDescent="0.35">
      <c r="A153" s="21" t="s">
        <v>353</v>
      </c>
      <c r="B153" s="46">
        <v>0.97375988999999996</v>
      </c>
      <c r="C153" s="46">
        <v>3.4065182200000002</v>
      </c>
      <c r="D153" s="46">
        <v>4.02270927</v>
      </c>
      <c r="E153" s="174"/>
      <c r="F153" s="46" t="s">
        <v>185</v>
      </c>
      <c r="G153" s="46">
        <v>3.09420875</v>
      </c>
      <c r="H153" s="46">
        <v>52.966653360000002</v>
      </c>
      <c r="I153" s="46">
        <v>0.23618945999999999</v>
      </c>
      <c r="J153" s="46"/>
      <c r="K153" s="46" t="s">
        <v>126</v>
      </c>
      <c r="L153" s="46">
        <v>0</v>
      </c>
      <c r="M153" s="46">
        <v>0</v>
      </c>
      <c r="N153" s="46">
        <v>2.3293400000000001E-3</v>
      </c>
      <c r="V153" s="18"/>
      <c r="W153" s="18"/>
      <c r="X153" s="18"/>
      <c r="Y153" s="18"/>
      <c r="AA153" s="18"/>
      <c r="AB153" s="18"/>
      <c r="AC153" s="18"/>
      <c r="AF153" s="18"/>
      <c r="AG153" s="18"/>
      <c r="AH153" s="18"/>
    </row>
    <row r="154" spans="1:34" x14ac:dyDescent="0.35">
      <c r="A154" s="21" t="s">
        <v>25</v>
      </c>
      <c r="B154" s="46">
        <v>4.7492747400000006</v>
      </c>
      <c r="C154" s="46">
        <v>7.29589833</v>
      </c>
      <c r="D154" s="46">
        <v>3.9659537400000002</v>
      </c>
      <c r="E154" s="174"/>
      <c r="F154" s="46" t="s">
        <v>194</v>
      </c>
      <c r="G154" s="46">
        <v>4.3839500000000002E-3</v>
      </c>
      <c r="H154" s="46">
        <v>0.16410572000000001</v>
      </c>
      <c r="I154" s="46">
        <v>0.18915104000000002</v>
      </c>
      <c r="J154" s="46"/>
      <c r="K154" s="46" t="s">
        <v>22</v>
      </c>
      <c r="L154" s="46">
        <v>1.94494E-3</v>
      </c>
      <c r="M154" s="46">
        <v>2.7304199999999999E-3</v>
      </c>
      <c r="N154" s="46">
        <v>2.2513400000000001E-3</v>
      </c>
      <c r="V154" s="18"/>
      <c r="W154" s="18"/>
      <c r="X154" s="18"/>
      <c r="Y154" s="18"/>
      <c r="AA154" s="18"/>
      <c r="AB154" s="18"/>
      <c r="AC154" s="18"/>
      <c r="AF154" s="18"/>
      <c r="AG154" s="18"/>
      <c r="AH154" s="18"/>
    </row>
    <row r="155" spans="1:34" x14ac:dyDescent="0.35">
      <c r="A155" s="21" t="s">
        <v>205</v>
      </c>
      <c r="B155" s="46">
        <v>2.0319486699999998</v>
      </c>
      <c r="C155" s="46">
        <v>3.67671897</v>
      </c>
      <c r="D155" s="46">
        <v>3.7941356000000002</v>
      </c>
      <c r="E155" s="174"/>
      <c r="F155" s="46" t="s">
        <v>111</v>
      </c>
      <c r="G155" s="46">
        <v>0.28185129999999997</v>
      </c>
      <c r="H155" s="46">
        <v>0.51034415</v>
      </c>
      <c r="I155" s="46">
        <v>0.18483132999999999</v>
      </c>
      <c r="J155" s="46"/>
      <c r="K155" s="46" t="s">
        <v>15</v>
      </c>
      <c r="L155" s="46">
        <v>1.3663420000000001E-2</v>
      </c>
      <c r="M155" s="46">
        <v>1.4814780000000001E-2</v>
      </c>
      <c r="N155" s="46">
        <v>2.0122400000000002E-3</v>
      </c>
      <c r="V155" s="18"/>
      <c r="W155" s="18"/>
      <c r="X155" s="18"/>
      <c r="Y155" s="18"/>
      <c r="AA155" s="18"/>
      <c r="AB155" s="18"/>
      <c r="AC155" s="18"/>
      <c r="AF155" s="18"/>
      <c r="AG155" s="18"/>
      <c r="AH155" s="18"/>
    </row>
    <row r="156" spans="1:34" x14ac:dyDescent="0.35">
      <c r="A156" s="21" t="s">
        <v>167</v>
      </c>
      <c r="B156" s="46">
        <v>7.1088561299999995</v>
      </c>
      <c r="C156" s="46">
        <v>2.90100844</v>
      </c>
      <c r="D156" s="46">
        <v>3.57265671</v>
      </c>
      <c r="E156" s="174"/>
      <c r="F156" s="46" t="s">
        <v>154</v>
      </c>
      <c r="G156" s="46">
        <v>0.55729115000000007</v>
      </c>
      <c r="H156" s="46">
        <v>0.18346583999999999</v>
      </c>
      <c r="I156" s="46">
        <v>0.17150077</v>
      </c>
      <c r="J156" s="46"/>
      <c r="K156" s="46" t="s">
        <v>357</v>
      </c>
      <c r="L156" s="46">
        <v>0</v>
      </c>
      <c r="M156" s="46">
        <v>6.15703E-3</v>
      </c>
      <c r="N156" s="46">
        <v>1.95823E-3</v>
      </c>
      <c r="V156" s="18"/>
      <c r="W156" s="18"/>
      <c r="X156" s="18"/>
      <c r="Y156" s="18"/>
      <c r="AA156" s="18"/>
      <c r="AB156" s="18"/>
      <c r="AC156" s="18"/>
      <c r="AF156" s="18"/>
      <c r="AG156" s="18"/>
      <c r="AH156" s="18"/>
    </row>
    <row r="157" spans="1:34" x14ac:dyDescent="0.35">
      <c r="A157" s="21" t="s">
        <v>114</v>
      </c>
      <c r="B157" s="46">
        <v>3.75936782</v>
      </c>
      <c r="C157" s="46">
        <v>5.0307870700000006</v>
      </c>
      <c r="D157" s="46">
        <v>3.5323430299999998</v>
      </c>
      <c r="E157" s="174"/>
      <c r="F157" s="46" t="s">
        <v>1</v>
      </c>
      <c r="G157" s="46">
        <v>2.0883200000000003E-3</v>
      </c>
      <c r="H157" s="46">
        <v>0</v>
      </c>
      <c r="I157" s="46">
        <v>0.15859429999999999</v>
      </c>
      <c r="J157" s="46"/>
      <c r="K157" s="46" t="s">
        <v>129</v>
      </c>
      <c r="L157" s="46">
        <v>2.2820969999999999E-2</v>
      </c>
      <c r="M157" s="46">
        <v>3.573548E-2</v>
      </c>
      <c r="N157" s="46">
        <v>1.85089E-3</v>
      </c>
      <c r="V157" s="18"/>
      <c r="W157" s="18"/>
      <c r="X157" s="18"/>
      <c r="Y157" s="18"/>
      <c r="AA157" s="18"/>
      <c r="AB157" s="18"/>
      <c r="AC157" s="18"/>
      <c r="AF157" s="18"/>
      <c r="AG157" s="18"/>
      <c r="AH157" s="18"/>
    </row>
    <row r="158" spans="1:34" x14ac:dyDescent="0.35">
      <c r="A158" s="21" t="s">
        <v>155</v>
      </c>
      <c r="B158" s="46">
        <v>2.4929105299999996</v>
      </c>
      <c r="C158" s="46">
        <v>3.8700504800000002</v>
      </c>
      <c r="D158" s="46">
        <v>3.3813317299999999</v>
      </c>
      <c r="E158" s="174"/>
      <c r="F158" s="46" t="s">
        <v>87</v>
      </c>
      <c r="G158" s="46">
        <v>0.78619549</v>
      </c>
      <c r="H158" s="46">
        <v>0.82632808999999996</v>
      </c>
      <c r="I158" s="46">
        <v>0.15035870000000001</v>
      </c>
      <c r="J158" s="46"/>
      <c r="K158" s="46" t="s">
        <v>27</v>
      </c>
      <c r="L158" s="46">
        <v>0</v>
      </c>
      <c r="M158" s="46">
        <v>2.3455400000000001E-3</v>
      </c>
      <c r="N158" s="46">
        <v>1.62824E-3</v>
      </c>
      <c r="V158" s="18"/>
      <c r="W158" s="18"/>
      <c r="X158" s="18"/>
      <c r="Y158" s="18"/>
      <c r="AA158" s="18"/>
      <c r="AB158" s="18"/>
      <c r="AC158" s="18"/>
      <c r="AF158" s="18"/>
      <c r="AG158" s="18"/>
      <c r="AH158" s="18"/>
    </row>
    <row r="159" spans="1:34" x14ac:dyDescent="0.35">
      <c r="A159" s="21" t="s">
        <v>213</v>
      </c>
      <c r="B159" s="46">
        <v>2.7831776000000001</v>
      </c>
      <c r="C159" s="46">
        <v>6.1965056600000104</v>
      </c>
      <c r="D159" s="46">
        <v>3.3433156800000003</v>
      </c>
      <c r="E159" s="174"/>
      <c r="F159" s="46" t="s">
        <v>384</v>
      </c>
      <c r="G159" s="46">
        <v>0.23184829000000001</v>
      </c>
      <c r="H159" s="46">
        <v>9.2474979999999998E-2</v>
      </c>
      <c r="I159" s="46">
        <v>0.14614607000000002</v>
      </c>
      <c r="J159" s="46"/>
      <c r="K159" s="46" t="s">
        <v>107</v>
      </c>
      <c r="L159" s="46">
        <v>0</v>
      </c>
      <c r="M159" s="46">
        <v>1.9163099999999998E-3</v>
      </c>
      <c r="N159" s="46">
        <v>1.5505E-3</v>
      </c>
      <c r="V159" s="18"/>
      <c r="W159" s="18"/>
      <c r="X159" s="18"/>
      <c r="Y159" s="18"/>
      <c r="AA159" s="18"/>
      <c r="AB159" s="18"/>
      <c r="AC159" s="18"/>
      <c r="AF159" s="18"/>
      <c r="AG159" s="18"/>
      <c r="AH159" s="18"/>
    </row>
    <row r="160" spans="1:34" x14ac:dyDescent="0.35">
      <c r="A160" s="21" t="s">
        <v>380</v>
      </c>
      <c r="B160" s="46">
        <v>5.0293302400000002</v>
      </c>
      <c r="C160" s="46">
        <v>2.9722409300000003</v>
      </c>
      <c r="D160" s="46">
        <v>3.3035365299999997</v>
      </c>
      <c r="E160" s="174"/>
      <c r="F160" s="46" t="s">
        <v>169</v>
      </c>
      <c r="G160" s="46">
        <v>0.11345593</v>
      </c>
      <c r="H160" s="46">
        <v>0.21714488000000001</v>
      </c>
      <c r="I160" s="46">
        <v>0.14074002999999999</v>
      </c>
      <c r="J160" s="46"/>
      <c r="K160" s="46" t="s">
        <v>128</v>
      </c>
      <c r="L160" s="46">
        <v>0</v>
      </c>
      <c r="M160" s="46">
        <v>0</v>
      </c>
      <c r="N160" s="46">
        <v>1.4263800000000001E-3</v>
      </c>
      <c r="V160" s="18"/>
      <c r="W160" s="18"/>
      <c r="X160" s="18"/>
      <c r="Y160" s="18"/>
      <c r="AA160" s="18"/>
      <c r="AB160" s="18"/>
      <c r="AC160" s="18"/>
      <c r="AF160" s="18"/>
      <c r="AG160" s="18"/>
      <c r="AH160" s="18"/>
    </row>
    <row r="161" spans="1:34" x14ac:dyDescent="0.35">
      <c r="A161" s="21" t="s">
        <v>349</v>
      </c>
      <c r="B161" s="46">
        <v>1.94636813</v>
      </c>
      <c r="C161" s="46">
        <v>1.3014396499999998</v>
      </c>
      <c r="D161" s="46">
        <v>3.2476848899999999</v>
      </c>
      <c r="E161" s="174"/>
      <c r="F161" s="46" t="s">
        <v>376</v>
      </c>
      <c r="G161" s="46">
        <v>0</v>
      </c>
      <c r="H161" s="46">
        <v>0</v>
      </c>
      <c r="I161" s="46">
        <v>0.12627017999999998</v>
      </c>
      <c r="J161" s="46"/>
      <c r="K161" s="46" t="s">
        <v>9</v>
      </c>
      <c r="L161" s="46">
        <v>2.1653999999999998E-4</v>
      </c>
      <c r="M161" s="46">
        <v>3.2254000000000001E-4</v>
      </c>
      <c r="N161" s="46">
        <v>1.2971300000000001E-3</v>
      </c>
      <c r="V161" s="18"/>
      <c r="W161" s="18"/>
      <c r="X161" s="18"/>
      <c r="Y161" s="18"/>
      <c r="AA161" s="18"/>
      <c r="AB161" s="18"/>
      <c r="AC161" s="18"/>
      <c r="AF161" s="18"/>
      <c r="AG161" s="18"/>
      <c r="AH161" s="18"/>
    </row>
    <row r="162" spans="1:34" x14ac:dyDescent="0.35">
      <c r="A162" s="21" t="s">
        <v>143</v>
      </c>
      <c r="B162" s="46">
        <v>18.776783219999999</v>
      </c>
      <c r="C162" s="46">
        <v>8.466363939999999</v>
      </c>
      <c r="D162" s="46">
        <v>3.17395139</v>
      </c>
      <c r="E162" s="174"/>
      <c r="F162" s="46" t="s">
        <v>110</v>
      </c>
      <c r="G162" s="46">
        <v>3.1543349999999998E-2</v>
      </c>
      <c r="H162" s="46">
        <v>0</v>
      </c>
      <c r="I162" s="46">
        <v>0.12075944999999999</v>
      </c>
      <c r="J162" s="46"/>
      <c r="K162" s="46" t="s">
        <v>24</v>
      </c>
      <c r="L162" s="46">
        <v>2.257547E-2</v>
      </c>
      <c r="M162" s="46">
        <v>5.5798100000000002E-3</v>
      </c>
      <c r="N162" s="46">
        <v>1.2649E-3</v>
      </c>
      <c r="V162" s="18"/>
      <c r="W162" s="18"/>
      <c r="X162" s="18"/>
      <c r="Y162" s="18"/>
      <c r="AA162" s="18"/>
      <c r="AB162" s="18"/>
      <c r="AC162" s="18"/>
      <c r="AF162" s="18"/>
      <c r="AG162" s="18"/>
      <c r="AH162" s="18"/>
    </row>
    <row r="163" spans="1:34" x14ac:dyDescent="0.35">
      <c r="A163" s="21" t="s">
        <v>10</v>
      </c>
      <c r="B163" s="46">
        <v>1.7206184899999999</v>
      </c>
      <c r="C163" s="46">
        <v>2.42883066</v>
      </c>
      <c r="D163" s="46">
        <v>3.15472055</v>
      </c>
      <c r="E163" s="174"/>
      <c r="F163" s="46" t="s">
        <v>107</v>
      </c>
      <c r="G163" s="46">
        <v>0.24685422000000001</v>
      </c>
      <c r="H163" s="46">
        <v>6.7792550000000007E-2</v>
      </c>
      <c r="I163" s="46">
        <v>0.11979411999999999</v>
      </c>
      <c r="J163" s="46"/>
      <c r="K163" s="46" t="s">
        <v>97</v>
      </c>
      <c r="L163" s="46">
        <v>7.5430000000000002E-3</v>
      </c>
      <c r="M163" s="46">
        <v>3.2986999999999999E-3</v>
      </c>
      <c r="N163" s="46">
        <v>1.15868E-3</v>
      </c>
      <c r="V163" s="18"/>
      <c r="W163" s="18"/>
      <c r="X163" s="18"/>
      <c r="Y163" s="18"/>
      <c r="AA163" s="18"/>
      <c r="AB163" s="18"/>
      <c r="AC163" s="18"/>
      <c r="AF163" s="18"/>
      <c r="AG163" s="18"/>
      <c r="AH163" s="18"/>
    </row>
    <row r="164" spans="1:34" x14ac:dyDescent="0.35">
      <c r="A164" s="21" t="s">
        <v>36</v>
      </c>
      <c r="B164" s="46">
        <v>0.81835293000000009</v>
      </c>
      <c r="C164" s="46">
        <v>1.8784855900000001</v>
      </c>
      <c r="D164" s="46">
        <v>2.7519875299999996</v>
      </c>
      <c r="E164" s="174"/>
      <c r="F164" s="46" t="s">
        <v>193</v>
      </c>
      <c r="G164" s="46">
        <v>0.11783952</v>
      </c>
      <c r="H164" s="46">
        <v>0.15738764000000002</v>
      </c>
      <c r="I164" s="46">
        <v>0.11249307</v>
      </c>
      <c r="J164" s="46"/>
      <c r="K164" s="46" t="s">
        <v>110</v>
      </c>
      <c r="L164" s="46">
        <v>0</v>
      </c>
      <c r="M164" s="46">
        <v>6.3157000000000003E-4</v>
      </c>
      <c r="N164" s="46">
        <v>1.05569E-3</v>
      </c>
      <c r="V164" s="18"/>
      <c r="W164" s="18"/>
      <c r="X164" s="18"/>
      <c r="Y164" s="18"/>
      <c r="AA164" s="18"/>
      <c r="AB164" s="18"/>
      <c r="AC164" s="18"/>
      <c r="AF164" s="18"/>
      <c r="AG164" s="18"/>
      <c r="AH164" s="18"/>
    </row>
    <row r="165" spans="1:34" x14ac:dyDescent="0.35">
      <c r="A165" s="21" t="s">
        <v>369</v>
      </c>
      <c r="B165" s="46">
        <v>3.5837949600000001</v>
      </c>
      <c r="C165" s="46">
        <v>2.6490232000000002</v>
      </c>
      <c r="D165" s="46">
        <v>2.6948544900000004</v>
      </c>
      <c r="E165" s="174"/>
      <c r="F165" s="46" t="s">
        <v>204</v>
      </c>
      <c r="G165" s="46">
        <v>0.30966579</v>
      </c>
      <c r="H165" s="46">
        <v>0.63159591000000004</v>
      </c>
      <c r="I165" s="46">
        <v>0.11210289</v>
      </c>
      <c r="J165" s="46"/>
      <c r="K165" s="46" t="s">
        <v>11</v>
      </c>
      <c r="L165" s="46">
        <v>6.7051000000000003E-4</v>
      </c>
      <c r="M165" s="46">
        <v>1.1272E-4</v>
      </c>
      <c r="N165" s="46">
        <v>8.3729999999999991E-4</v>
      </c>
      <c r="V165" s="18"/>
      <c r="W165" s="18"/>
      <c r="X165" s="18"/>
      <c r="Y165" s="18"/>
      <c r="AA165" s="18"/>
      <c r="AB165" s="18"/>
      <c r="AC165" s="18"/>
      <c r="AF165" s="18"/>
      <c r="AG165" s="18"/>
      <c r="AH165" s="18"/>
    </row>
    <row r="166" spans="1:34" x14ac:dyDescent="0.35">
      <c r="A166" s="21" t="s">
        <v>109</v>
      </c>
      <c r="B166" s="46">
        <v>6.3438857899999999</v>
      </c>
      <c r="C166" s="46">
        <v>3.2159763399999997</v>
      </c>
      <c r="D166" s="46">
        <v>2.6448347000000001</v>
      </c>
      <c r="E166" s="174"/>
      <c r="F166" s="46" t="s">
        <v>43</v>
      </c>
      <c r="G166" s="46">
        <v>0.15405170999999998</v>
      </c>
      <c r="H166" s="46">
        <v>0.42144734</v>
      </c>
      <c r="I166" s="46">
        <v>0.10924569000000001</v>
      </c>
      <c r="J166" s="46"/>
      <c r="K166" s="46" t="s">
        <v>20</v>
      </c>
      <c r="L166" s="46">
        <v>0</v>
      </c>
      <c r="M166" s="46">
        <v>1.5865999999999999E-3</v>
      </c>
      <c r="N166" s="46">
        <v>8.2998000000000002E-4</v>
      </c>
      <c r="V166" s="18"/>
      <c r="W166" s="18"/>
      <c r="X166" s="18"/>
      <c r="Y166" s="18"/>
      <c r="AA166" s="18"/>
      <c r="AB166" s="18"/>
      <c r="AC166" s="18"/>
      <c r="AF166" s="18"/>
      <c r="AG166" s="18"/>
      <c r="AH166" s="18"/>
    </row>
    <row r="167" spans="1:34" x14ac:dyDescent="0.35">
      <c r="A167" s="21" t="s">
        <v>149</v>
      </c>
      <c r="B167" s="46">
        <v>1.0146103</v>
      </c>
      <c r="C167" s="46">
        <v>5.0271152099999998</v>
      </c>
      <c r="D167" s="46">
        <v>2.53583793</v>
      </c>
      <c r="E167" s="174"/>
      <c r="F167" s="46" t="s">
        <v>18</v>
      </c>
      <c r="G167" s="46">
        <v>0.16290656000000001</v>
      </c>
      <c r="H167" s="46">
        <v>4.066082E-2</v>
      </c>
      <c r="I167" s="46">
        <v>9.8190229999999989E-2</v>
      </c>
      <c r="J167" s="46"/>
      <c r="K167" s="46" t="s">
        <v>14</v>
      </c>
      <c r="L167" s="46">
        <v>0</v>
      </c>
      <c r="M167" s="46">
        <v>4.0448400000000001E-3</v>
      </c>
      <c r="N167" s="46">
        <v>8.12E-4</v>
      </c>
      <c r="V167" s="18"/>
      <c r="W167" s="18"/>
      <c r="X167" s="18"/>
      <c r="Y167" s="18"/>
      <c r="AA167" s="18"/>
      <c r="AB167" s="18"/>
      <c r="AC167" s="18"/>
      <c r="AF167" s="18"/>
      <c r="AG167" s="18"/>
      <c r="AH167" s="18"/>
    </row>
    <row r="168" spans="1:34" x14ac:dyDescent="0.35">
      <c r="A168" s="21" t="s">
        <v>110</v>
      </c>
      <c r="B168" s="46">
        <v>2.9501172999999996</v>
      </c>
      <c r="C168" s="46">
        <v>2.9059749900000003</v>
      </c>
      <c r="D168" s="46">
        <v>2.2598859999999998</v>
      </c>
      <c r="E168" s="174"/>
      <c r="F168" s="46" t="s">
        <v>119</v>
      </c>
      <c r="G168" s="46">
        <v>0.9622895600000001</v>
      </c>
      <c r="H168" s="46">
        <v>0.29717369999999999</v>
      </c>
      <c r="I168" s="46">
        <v>9.6975979999999989E-2</v>
      </c>
      <c r="J168" s="46"/>
      <c r="K168" s="46" t="s">
        <v>74</v>
      </c>
      <c r="L168" s="46">
        <v>1.388928E-2</v>
      </c>
      <c r="M168" s="46">
        <v>4.0046600000000002E-3</v>
      </c>
      <c r="N168" s="46">
        <v>7.7809000000000005E-4</v>
      </c>
      <c r="V168" s="18"/>
      <c r="W168" s="18"/>
      <c r="X168" s="18"/>
      <c r="Y168" s="18"/>
      <c r="AA168" s="18"/>
      <c r="AB168" s="18"/>
      <c r="AC168" s="18"/>
      <c r="AF168" s="18"/>
      <c r="AG168" s="18"/>
      <c r="AH168" s="18"/>
    </row>
    <row r="169" spans="1:34" x14ac:dyDescent="0.35">
      <c r="A169" s="21" t="s">
        <v>111</v>
      </c>
      <c r="B169" s="46">
        <v>6.2305953499999998</v>
      </c>
      <c r="C169" s="46">
        <v>1.90068451</v>
      </c>
      <c r="D169" s="46">
        <v>2.24722081</v>
      </c>
      <c r="E169" s="174"/>
      <c r="F169" s="46" t="s">
        <v>3</v>
      </c>
      <c r="G169" s="46">
        <v>0</v>
      </c>
      <c r="H169" s="46">
        <v>1.3068800000000001E-3</v>
      </c>
      <c r="I169" s="46">
        <v>9.2437210000000006E-2</v>
      </c>
      <c r="J169" s="46"/>
      <c r="K169" s="46" t="s">
        <v>66</v>
      </c>
      <c r="L169" s="46">
        <v>0</v>
      </c>
      <c r="M169" s="46">
        <v>2.32154E-3</v>
      </c>
      <c r="N169" s="46">
        <v>7.0446000000000007E-4</v>
      </c>
      <c r="V169" s="18"/>
      <c r="W169" s="18"/>
      <c r="X169" s="18"/>
      <c r="Y169" s="18"/>
      <c r="AA169" s="18"/>
      <c r="AB169" s="18"/>
      <c r="AC169" s="18"/>
      <c r="AF169" s="18"/>
      <c r="AG169" s="18"/>
      <c r="AH169" s="18"/>
    </row>
    <row r="170" spans="1:34" ht="12.65" customHeight="1" x14ac:dyDescent="0.35">
      <c r="A170" s="21" t="s">
        <v>53</v>
      </c>
      <c r="B170" s="46">
        <v>0</v>
      </c>
      <c r="C170" s="46">
        <v>0</v>
      </c>
      <c r="D170" s="46">
        <v>2.1647500000000002</v>
      </c>
      <c r="E170" s="174"/>
      <c r="F170" s="46" t="s">
        <v>354</v>
      </c>
      <c r="G170" s="46">
        <v>5.3815080000000001E-2</v>
      </c>
      <c r="H170" s="46">
        <v>0.13487224</v>
      </c>
      <c r="I170" s="46">
        <v>8.3496210000000001E-2</v>
      </c>
      <c r="J170" s="46"/>
      <c r="K170" s="46" t="s">
        <v>351</v>
      </c>
      <c r="L170" s="46">
        <v>0</v>
      </c>
      <c r="M170" s="46">
        <v>0</v>
      </c>
      <c r="N170" s="46">
        <v>5.7600000000000001E-4</v>
      </c>
      <c r="V170" s="18"/>
      <c r="W170" s="18"/>
      <c r="X170" s="18"/>
      <c r="Y170" s="18"/>
      <c r="AA170" s="18"/>
      <c r="AB170" s="18"/>
      <c r="AC170" s="18"/>
      <c r="AF170" s="18"/>
      <c r="AG170" s="18"/>
      <c r="AH170" s="18"/>
    </row>
    <row r="171" spans="1:34" x14ac:dyDescent="0.35">
      <c r="A171" s="21" t="s">
        <v>383</v>
      </c>
      <c r="B171" s="46">
        <v>0.79323087000000003</v>
      </c>
      <c r="C171" s="46">
        <v>0.76026769999999999</v>
      </c>
      <c r="D171" s="46">
        <v>1.9920576799999998</v>
      </c>
      <c r="E171" s="174"/>
      <c r="F171" s="46" t="s">
        <v>170</v>
      </c>
      <c r="G171" s="46">
        <v>0.18873728000000001</v>
      </c>
      <c r="H171" s="46">
        <v>0.42048232000000002</v>
      </c>
      <c r="I171" s="46">
        <v>8.1509250000000005E-2</v>
      </c>
      <c r="J171" s="46"/>
      <c r="K171" s="46" t="s">
        <v>18</v>
      </c>
      <c r="L171" s="46">
        <v>3.8248000000000004E-4</v>
      </c>
      <c r="M171" s="46">
        <v>2.7962099999999999E-3</v>
      </c>
      <c r="N171" s="46">
        <v>5.7576999999999997E-4</v>
      </c>
      <c r="V171" s="18"/>
      <c r="W171" s="18"/>
      <c r="X171" s="18"/>
      <c r="Y171" s="18"/>
      <c r="AA171" s="18"/>
      <c r="AB171" s="18"/>
      <c r="AC171" s="18"/>
      <c r="AF171" s="18"/>
      <c r="AG171" s="18"/>
      <c r="AH171" s="18"/>
    </row>
    <row r="172" spans="1:34" x14ac:dyDescent="0.35">
      <c r="A172" s="21" t="s">
        <v>87</v>
      </c>
      <c r="B172" s="46">
        <v>4.4296137599999996</v>
      </c>
      <c r="C172" s="46">
        <v>2.1829172900000002</v>
      </c>
      <c r="D172" s="46">
        <v>1.9231107299999999</v>
      </c>
      <c r="E172" s="174"/>
      <c r="F172" s="46" t="s">
        <v>187</v>
      </c>
      <c r="G172" s="46">
        <v>0.16447300000000001</v>
      </c>
      <c r="H172" s="46">
        <v>0.27267453999999997</v>
      </c>
      <c r="I172" s="46">
        <v>6.5048400000000006E-2</v>
      </c>
      <c r="J172" s="46"/>
      <c r="K172" s="46" t="s">
        <v>45</v>
      </c>
      <c r="L172" s="46">
        <v>9.7099999999999997E-4</v>
      </c>
      <c r="M172" s="46">
        <v>5.2099999999999998E-4</v>
      </c>
      <c r="N172" s="46">
        <v>5.0681999999999995E-4</v>
      </c>
      <c r="V172" s="18"/>
      <c r="W172" s="18"/>
      <c r="X172" s="18"/>
      <c r="Y172" s="18"/>
      <c r="AA172" s="18"/>
      <c r="AB172" s="18"/>
      <c r="AC172" s="18"/>
      <c r="AF172" s="18"/>
      <c r="AG172" s="18"/>
      <c r="AH172" s="18"/>
    </row>
    <row r="173" spans="1:34" x14ac:dyDescent="0.35">
      <c r="A173" s="21" t="s">
        <v>72</v>
      </c>
      <c r="B173" s="46">
        <v>0.95148420999999994</v>
      </c>
      <c r="C173" s="46">
        <v>0.46146171000000002</v>
      </c>
      <c r="D173" s="46">
        <v>1.8325178500000001</v>
      </c>
      <c r="E173" s="174"/>
      <c r="F173" s="46" t="s">
        <v>141</v>
      </c>
      <c r="G173" s="46">
        <v>9.1616100000000006E-2</v>
      </c>
      <c r="H173" s="46">
        <v>2.5635660000000001E-2</v>
      </c>
      <c r="I173" s="46">
        <v>3.7585830000000001E-2</v>
      </c>
      <c r="J173" s="46"/>
      <c r="K173" s="46" t="s">
        <v>51</v>
      </c>
      <c r="L173" s="46">
        <v>5.2607000000000001E-3</v>
      </c>
      <c r="M173" s="46">
        <v>4.6799999999999999E-4</v>
      </c>
      <c r="N173" s="46">
        <v>5.0681999999999995E-4</v>
      </c>
      <c r="V173" s="18"/>
      <c r="W173" s="18"/>
      <c r="X173" s="18"/>
      <c r="Y173" s="18"/>
      <c r="AA173" s="18"/>
      <c r="AB173" s="18"/>
      <c r="AC173" s="18"/>
      <c r="AF173" s="18"/>
      <c r="AG173" s="18"/>
      <c r="AH173" s="18"/>
    </row>
    <row r="174" spans="1:34" x14ac:dyDescent="0.35">
      <c r="A174" s="21" t="s">
        <v>370</v>
      </c>
      <c r="B174" s="46">
        <v>3.59641834</v>
      </c>
      <c r="C174" s="46">
        <v>0.8104732</v>
      </c>
      <c r="D174" s="46">
        <v>1.7568053400000001</v>
      </c>
      <c r="E174" s="174"/>
      <c r="F174" s="46" t="s">
        <v>205</v>
      </c>
      <c r="G174" s="46">
        <v>2.687258E-2</v>
      </c>
      <c r="H174" s="46">
        <v>4.7928650000000003E-2</v>
      </c>
      <c r="I174" s="46">
        <v>3.2427200000000003E-2</v>
      </c>
      <c r="J174" s="46"/>
      <c r="K174" s="46" t="s">
        <v>59</v>
      </c>
      <c r="L174" s="46">
        <v>5.9080999999999999E-4</v>
      </c>
      <c r="M174" s="46">
        <v>1.38312E-2</v>
      </c>
      <c r="N174" s="46">
        <v>4.2342000000000004E-4</v>
      </c>
      <c r="V174" s="18"/>
      <c r="W174" s="18"/>
      <c r="X174" s="18"/>
      <c r="Y174" s="18"/>
      <c r="AA174" s="18"/>
      <c r="AB174" s="18"/>
      <c r="AC174" s="18"/>
      <c r="AF174" s="18"/>
      <c r="AG174" s="18"/>
      <c r="AH174" s="18"/>
    </row>
    <row r="175" spans="1:34" x14ac:dyDescent="0.35">
      <c r="A175" s="21" t="s">
        <v>356</v>
      </c>
      <c r="B175" s="46">
        <v>2.56983322</v>
      </c>
      <c r="C175" s="46">
        <v>2.7871742400000001</v>
      </c>
      <c r="D175" s="46">
        <v>1.6817730800000001</v>
      </c>
      <c r="E175" s="174"/>
      <c r="F175" s="46" t="s">
        <v>91</v>
      </c>
      <c r="G175" s="46">
        <v>2.163588E-2</v>
      </c>
      <c r="H175" s="46">
        <v>0.21433282999999997</v>
      </c>
      <c r="I175" s="46">
        <v>3.1135799999999998E-2</v>
      </c>
      <c r="J175" s="46"/>
      <c r="K175" s="46" t="s">
        <v>17</v>
      </c>
      <c r="L175" s="46">
        <v>9.9058000000000002E-4</v>
      </c>
      <c r="M175" s="46">
        <v>3.9935400000000003E-3</v>
      </c>
      <c r="N175" s="46">
        <v>4.2111000000000004E-4</v>
      </c>
      <c r="V175" s="18"/>
      <c r="W175" s="18"/>
      <c r="X175" s="18"/>
      <c r="Y175" s="18"/>
      <c r="AA175" s="18"/>
      <c r="AB175" s="18"/>
      <c r="AC175" s="18"/>
      <c r="AF175" s="18"/>
      <c r="AG175" s="18"/>
      <c r="AH175" s="18"/>
    </row>
    <row r="176" spans="1:34" x14ac:dyDescent="0.35">
      <c r="A176" s="21" t="s">
        <v>184</v>
      </c>
      <c r="B176" s="46">
        <v>2.7371525499999998</v>
      </c>
      <c r="C176" s="46">
        <v>3.7182156200000001</v>
      </c>
      <c r="D176" s="46">
        <v>1.6047426499999999</v>
      </c>
      <c r="E176" s="174"/>
      <c r="F176" s="46" t="s">
        <v>212</v>
      </c>
      <c r="G176" s="46">
        <v>5.9557449999999998E-2</v>
      </c>
      <c r="H176" s="46">
        <v>0.35947346999999996</v>
      </c>
      <c r="I176" s="46">
        <v>2.9202009999999997E-2</v>
      </c>
      <c r="J176" s="46"/>
      <c r="K176" s="46" t="s">
        <v>379</v>
      </c>
      <c r="L176" s="46">
        <v>1.0988889999999999E-2</v>
      </c>
      <c r="M176" s="46">
        <v>9.179E-5</v>
      </c>
      <c r="N176" s="46">
        <v>4.0992000000000003E-4</v>
      </c>
      <c r="V176" s="18"/>
      <c r="W176" s="18"/>
      <c r="X176" s="18"/>
      <c r="Y176" s="18"/>
      <c r="AA176" s="18"/>
      <c r="AB176" s="18"/>
      <c r="AC176" s="18"/>
      <c r="AF176" s="18"/>
      <c r="AG176" s="18"/>
      <c r="AH176" s="18"/>
    </row>
    <row r="177" spans="1:34" x14ac:dyDescent="0.35">
      <c r="A177" s="21" t="s">
        <v>169</v>
      </c>
      <c r="B177" s="46">
        <v>2.6323239100000002</v>
      </c>
      <c r="C177" s="46">
        <v>1.7344505100000001</v>
      </c>
      <c r="D177" s="46">
        <v>1.55889224</v>
      </c>
      <c r="E177" s="174"/>
      <c r="F177" s="46" t="s">
        <v>377</v>
      </c>
      <c r="G177" s="46">
        <v>0</v>
      </c>
      <c r="H177" s="46">
        <v>0</v>
      </c>
      <c r="I177" s="46">
        <v>2.6028639999999999E-2</v>
      </c>
      <c r="J177" s="46"/>
      <c r="K177" s="46" t="s">
        <v>41</v>
      </c>
      <c r="L177" s="46">
        <v>2.0383000000000001E-4</v>
      </c>
      <c r="M177" s="46">
        <v>1.6190599999999999E-3</v>
      </c>
      <c r="N177" s="46">
        <v>3.8601999999999999E-4</v>
      </c>
      <c r="V177" s="18"/>
      <c r="W177" s="18"/>
      <c r="X177" s="18"/>
      <c r="Y177" s="18"/>
      <c r="AA177" s="18"/>
      <c r="AB177" s="18"/>
      <c r="AC177" s="18"/>
      <c r="AF177" s="18"/>
      <c r="AG177" s="18"/>
      <c r="AH177" s="18"/>
    </row>
    <row r="178" spans="1:34" x14ac:dyDescent="0.35">
      <c r="A178" s="21" t="s">
        <v>122</v>
      </c>
      <c r="B178" s="46">
        <v>0.82746197999999993</v>
      </c>
      <c r="C178" s="46">
        <v>0.29510948999999997</v>
      </c>
      <c r="D178" s="46">
        <v>1.5551176200000001</v>
      </c>
      <c r="E178" s="174"/>
      <c r="F178" s="46" t="s">
        <v>23</v>
      </c>
      <c r="G178" s="46">
        <v>3.9348790000000002E-2</v>
      </c>
      <c r="H178" s="46">
        <v>4.9005100000000003E-3</v>
      </c>
      <c r="I178" s="46">
        <v>2.3651220000000001E-2</v>
      </c>
      <c r="J178" s="46"/>
      <c r="K178" s="46" t="s">
        <v>69</v>
      </c>
      <c r="L178" s="46">
        <v>7.5385699999999996E-3</v>
      </c>
      <c r="M178" s="46">
        <v>3.1936999999999998E-3</v>
      </c>
      <c r="N178" s="46">
        <v>3.8242000000000001E-4</v>
      </c>
      <c r="V178" s="18"/>
      <c r="W178" s="18"/>
      <c r="X178" s="18"/>
      <c r="Y178" s="18"/>
      <c r="AA178" s="18"/>
      <c r="AB178" s="18"/>
      <c r="AC178" s="18"/>
      <c r="AF178" s="18"/>
      <c r="AG178" s="18"/>
      <c r="AH178" s="18"/>
    </row>
    <row r="179" spans="1:34" x14ac:dyDescent="0.35">
      <c r="A179" s="21" t="s">
        <v>68</v>
      </c>
      <c r="B179" s="46">
        <v>1.96289135</v>
      </c>
      <c r="C179" s="46">
        <v>1.5912360700000001</v>
      </c>
      <c r="D179" s="46">
        <v>1.4490213600000001</v>
      </c>
      <c r="E179" s="174"/>
      <c r="F179" s="46" t="s">
        <v>67</v>
      </c>
      <c r="G179" s="46">
        <v>4.2293800000000005E-3</v>
      </c>
      <c r="H179" s="46">
        <v>3.4666639999999999E-2</v>
      </c>
      <c r="I179" s="46">
        <v>2.3139679999999999E-2</v>
      </c>
      <c r="J179" s="46"/>
      <c r="K179" s="46" t="s">
        <v>373</v>
      </c>
      <c r="L179" s="46">
        <v>0</v>
      </c>
      <c r="M179" s="46">
        <v>0</v>
      </c>
      <c r="N179" s="46">
        <v>3.7550000000000002E-4</v>
      </c>
      <c r="V179" s="18"/>
      <c r="W179" s="18"/>
      <c r="X179" s="18"/>
      <c r="Y179" s="18"/>
      <c r="AA179" s="18"/>
      <c r="AB179" s="18"/>
      <c r="AC179" s="18"/>
      <c r="AF179" s="18"/>
      <c r="AG179" s="18"/>
      <c r="AH179" s="18"/>
    </row>
    <row r="180" spans="1:34" x14ac:dyDescent="0.35">
      <c r="A180" s="21" t="s">
        <v>45</v>
      </c>
      <c r="B180" s="46">
        <v>1.7577618100000001</v>
      </c>
      <c r="C180" s="46">
        <v>1.89804573</v>
      </c>
      <c r="D180" s="46">
        <v>1.4023912000000001</v>
      </c>
      <c r="E180" s="174"/>
      <c r="F180" s="46" t="s">
        <v>31</v>
      </c>
      <c r="G180" s="46">
        <v>1.70685413</v>
      </c>
      <c r="H180" s="46">
        <v>8.9962999999999987E-3</v>
      </c>
      <c r="I180" s="46">
        <v>2.22329E-2</v>
      </c>
      <c r="J180" s="46"/>
      <c r="K180" s="46" t="s">
        <v>5</v>
      </c>
      <c r="L180" s="46">
        <v>2.1602000000000001E-4</v>
      </c>
      <c r="M180" s="46">
        <v>3.8319999999999999E-5</v>
      </c>
      <c r="N180" s="46">
        <v>3.5487000000000002E-4</v>
      </c>
      <c r="V180" s="18"/>
      <c r="W180" s="18"/>
      <c r="X180" s="18"/>
      <c r="Y180" s="18"/>
      <c r="AA180" s="18"/>
      <c r="AB180" s="18"/>
      <c r="AC180" s="18"/>
      <c r="AF180" s="18"/>
      <c r="AG180" s="18"/>
      <c r="AH180" s="18"/>
    </row>
    <row r="181" spans="1:34" x14ac:dyDescent="0.35">
      <c r="A181" s="21" t="s">
        <v>206</v>
      </c>
      <c r="B181" s="46">
        <v>0.34186247999999997</v>
      </c>
      <c r="C181" s="46">
        <v>3.1777054800000002</v>
      </c>
      <c r="D181" s="46">
        <v>1.19608531</v>
      </c>
      <c r="E181" s="174"/>
      <c r="F181" s="46" t="s">
        <v>27</v>
      </c>
      <c r="G181" s="46">
        <v>1.0140494799999999</v>
      </c>
      <c r="H181" s="46">
        <v>0.35659647</v>
      </c>
      <c r="I181" s="46">
        <v>2.0832799999999999E-2</v>
      </c>
      <c r="J181" s="46"/>
      <c r="K181" s="46" t="s">
        <v>378</v>
      </c>
      <c r="L181" s="46">
        <v>0</v>
      </c>
      <c r="M181" s="46">
        <v>0</v>
      </c>
      <c r="N181" s="46">
        <v>3.4422000000000001E-4</v>
      </c>
      <c r="V181" s="18"/>
      <c r="W181" s="18"/>
      <c r="X181" s="18"/>
      <c r="Y181" s="18"/>
      <c r="AA181" s="18"/>
      <c r="AB181" s="18"/>
      <c r="AC181" s="18"/>
      <c r="AF181" s="18"/>
      <c r="AG181" s="18"/>
      <c r="AH181" s="18"/>
    </row>
    <row r="182" spans="1:34" x14ac:dyDescent="0.35">
      <c r="A182" s="21" t="s">
        <v>153</v>
      </c>
      <c r="B182" s="46">
        <v>1.0491119099999999</v>
      </c>
      <c r="C182" s="46">
        <v>0.16227343999999999</v>
      </c>
      <c r="D182" s="46">
        <v>1.0840627</v>
      </c>
      <c r="E182" s="174"/>
      <c r="F182" s="46" t="s">
        <v>201</v>
      </c>
      <c r="G182" s="46">
        <v>0.33207215000000001</v>
      </c>
      <c r="H182" s="46">
        <v>0.82258114000000004</v>
      </c>
      <c r="I182" s="46">
        <v>2.0802290000000001E-2</v>
      </c>
      <c r="J182" s="46"/>
      <c r="K182" s="46" t="s">
        <v>94</v>
      </c>
      <c r="L182" s="46">
        <v>3.1845999999999996E-4</v>
      </c>
      <c r="M182" s="46">
        <v>0</v>
      </c>
      <c r="N182" s="46">
        <v>1.54E-4</v>
      </c>
      <c r="V182" s="18"/>
      <c r="W182" s="18"/>
      <c r="X182" s="18"/>
      <c r="Y182" s="18"/>
      <c r="AA182" s="18"/>
      <c r="AB182" s="18"/>
      <c r="AC182" s="18"/>
      <c r="AF182" s="18"/>
      <c r="AG182" s="18"/>
      <c r="AH182" s="18"/>
    </row>
    <row r="183" spans="1:34" x14ac:dyDescent="0.35">
      <c r="A183" s="21" t="s">
        <v>669</v>
      </c>
      <c r="B183" s="46">
        <v>0</v>
      </c>
      <c r="C183" s="46">
        <v>0</v>
      </c>
      <c r="D183" s="46">
        <v>1.01741134</v>
      </c>
      <c r="E183" s="174"/>
      <c r="F183" s="46" t="s">
        <v>150</v>
      </c>
      <c r="G183" s="46">
        <v>0.37421108000000003</v>
      </c>
      <c r="H183" s="46">
        <v>4.1017870399999996</v>
      </c>
      <c r="I183" s="46">
        <v>1.808266E-2</v>
      </c>
      <c r="J183" s="46"/>
      <c r="K183" s="46" t="s">
        <v>13</v>
      </c>
      <c r="L183" s="46">
        <v>0</v>
      </c>
      <c r="M183" s="46">
        <v>0</v>
      </c>
      <c r="N183" s="46">
        <v>7.3750000000000004E-5</v>
      </c>
      <c r="V183" s="18"/>
      <c r="W183" s="18"/>
      <c r="X183" s="18"/>
      <c r="Y183" s="18"/>
      <c r="AA183" s="18"/>
      <c r="AB183" s="18"/>
      <c r="AC183" s="18"/>
      <c r="AF183" s="18"/>
      <c r="AG183" s="18"/>
      <c r="AH183" s="18"/>
    </row>
    <row r="184" spans="1:34" x14ac:dyDescent="0.35">
      <c r="A184" s="21" t="s">
        <v>0</v>
      </c>
      <c r="B184" s="46">
        <v>0.94424721</v>
      </c>
      <c r="C184" s="46">
        <v>0.951797</v>
      </c>
      <c r="D184" s="46">
        <v>0.99581900000000001</v>
      </c>
      <c r="E184" s="174"/>
      <c r="F184" s="46" t="s">
        <v>98</v>
      </c>
      <c r="G184" s="46">
        <v>0.47603949000000001</v>
      </c>
      <c r="H184" s="46">
        <v>1.9448070000000001E-2</v>
      </c>
      <c r="I184" s="46">
        <v>1.2303670000000001E-2</v>
      </c>
      <c r="J184" s="46"/>
      <c r="K184" s="46" t="s">
        <v>26</v>
      </c>
      <c r="L184" s="46">
        <v>4.2680000000000002E-4</v>
      </c>
      <c r="M184" s="46">
        <v>9.3112199999999985E-3</v>
      </c>
      <c r="N184" s="46">
        <v>6.8159999999999998E-5</v>
      </c>
      <c r="V184" s="18"/>
      <c r="W184" s="18"/>
      <c r="X184" s="18"/>
      <c r="Y184" s="18"/>
      <c r="AA184" s="18"/>
      <c r="AB184" s="18"/>
      <c r="AC184" s="18"/>
      <c r="AF184" s="18"/>
      <c r="AG184" s="18"/>
      <c r="AH184" s="18"/>
    </row>
    <row r="185" spans="1:34" x14ac:dyDescent="0.35">
      <c r="A185" s="21" t="s">
        <v>186</v>
      </c>
      <c r="B185" s="46">
        <v>7.9474838200000004</v>
      </c>
      <c r="C185" s="46">
        <v>1.5698865900000001</v>
      </c>
      <c r="D185" s="46">
        <v>0.91583617000000006</v>
      </c>
      <c r="E185" s="174"/>
      <c r="F185" s="46" t="s">
        <v>68</v>
      </c>
      <c r="G185" s="46">
        <v>2.238966</v>
      </c>
      <c r="H185" s="46">
        <v>1.02337225</v>
      </c>
      <c r="I185" s="46">
        <v>1.2070000000000001E-2</v>
      </c>
      <c r="J185" s="46"/>
      <c r="K185" s="46" t="s">
        <v>1</v>
      </c>
      <c r="L185" s="46">
        <v>0</v>
      </c>
      <c r="M185" s="46">
        <v>0</v>
      </c>
      <c r="N185" s="46">
        <v>0</v>
      </c>
      <c r="V185" s="18"/>
      <c r="W185" s="18"/>
      <c r="X185" s="18"/>
      <c r="Y185" s="18"/>
      <c r="AA185" s="18"/>
      <c r="AB185" s="18"/>
      <c r="AC185" s="18"/>
      <c r="AF185" s="18"/>
      <c r="AG185" s="18"/>
      <c r="AH185" s="18"/>
    </row>
    <row r="186" spans="1:34" x14ac:dyDescent="0.35">
      <c r="A186" s="21" t="s">
        <v>14</v>
      </c>
      <c r="B186" s="46">
        <v>1.61423783</v>
      </c>
      <c r="C186" s="46">
        <v>0.68349260999999994</v>
      </c>
      <c r="D186" s="46">
        <v>0.90336713000000002</v>
      </c>
      <c r="E186" s="174"/>
      <c r="F186" s="46" t="s">
        <v>365</v>
      </c>
      <c r="G186" s="46">
        <v>0.21418287</v>
      </c>
      <c r="H186" s="46">
        <v>1.502005E-2</v>
      </c>
      <c r="I186" s="46">
        <v>1.2035870000000001E-2</v>
      </c>
      <c r="J186" s="46"/>
      <c r="K186" s="46" t="s">
        <v>2</v>
      </c>
      <c r="L186" s="46">
        <v>0</v>
      </c>
      <c r="M186" s="46">
        <v>0</v>
      </c>
      <c r="N186" s="46">
        <v>0</v>
      </c>
      <c r="V186" s="18"/>
      <c r="W186" s="18"/>
      <c r="X186" s="18"/>
      <c r="Y186" s="18"/>
      <c r="AA186" s="18"/>
      <c r="AB186" s="18"/>
      <c r="AC186" s="18"/>
      <c r="AF186" s="18"/>
      <c r="AG186" s="18"/>
      <c r="AH186" s="18"/>
    </row>
    <row r="187" spans="1:34" x14ac:dyDescent="0.35">
      <c r="A187" s="21" t="s">
        <v>73</v>
      </c>
      <c r="B187" s="46">
        <v>0.53073421999999992</v>
      </c>
      <c r="C187" s="46">
        <v>0.91522438000000006</v>
      </c>
      <c r="D187" s="46">
        <v>0.85487986999999999</v>
      </c>
      <c r="E187" s="174"/>
      <c r="F187" s="46" t="s">
        <v>26</v>
      </c>
      <c r="G187" s="46">
        <v>2.9014349999999998E-2</v>
      </c>
      <c r="H187" s="46">
        <v>4.0433269999999993E-2</v>
      </c>
      <c r="I187" s="46">
        <v>9.3642900000000008E-3</v>
      </c>
      <c r="J187" s="46"/>
      <c r="K187" s="46" t="s">
        <v>3</v>
      </c>
      <c r="L187" s="46">
        <v>3.9667000000000001E-4</v>
      </c>
      <c r="M187" s="46">
        <v>0</v>
      </c>
      <c r="N187" s="46">
        <v>0</v>
      </c>
      <c r="V187" s="18"/>
      <c r="W187" s="18"/>
      <c r="X187" s="18"/>
      <c r="Y187" s="18"/>
      <c r="AA187" s="18"/>
      <c r="AB187" s="18"/>
      <c r="AC187" s="18"/>
      <c r="AF187" s="18"/>
      <c r="AG187" s="18"/>
      <c r="AH187" s="18"/>
    </row>
    <row r="188" spans="1:34" x14ac:dyDescent="0.35">
      <c r="A188" s="21" t="s">
        <v>107</v>
      </c>
      <c r="B188" s="46">
        <v>1.3248048400000001</v>
      </c>
      <c r="C188" s="46">
        <v>0.59981647999999999</v>
      </c>
      <c r="D188" s="46">
        <v>0.84159764999999997</v>
      </c>
      <c r="E188" s="174"/>
      <c r="F188" s="46" t="s">
        <v>213</v>
      </c>
      <c r="G188" s="46">
        <v>0.94188000000000005</v>
      </c>
      <c r="H188" s="46">
        <v>0.49301560999999999</v>
      </c>
      <c r="I188" s="46">
        <v>6.7714699999999999E-3</v>
      </c>
      <c r="J188" s="46"/>
      <c r="K188" s="46" t="s">
        <v>4</v>
      </c>
      <c r="L188" s="46">
        <v>0</v>
      </c>
      <c r="M188" s="46">
        <v>5.9549999999999997E-5</v>
      </c>
      <c r="N188" s="46">
        <v>0</v>
      </c>
      <c r="V188" s="18"/>
      <c r="W188" s="18"/>
      <c r="X188" s="18"/>
      <c r="Y188" s="18"/>
      <c r="AA188" s="18"/>
      <c r="AB188" s="18"/>
      <c r="AC188" s="18"/>
      <c r="AF188" s="18"/>
      <c r="AG188" s="18"/>
      <c r="AH188" s="18"/>
    </row>
    <row r="189" spans="1:34" x14ac:dyDescent="0.35">
      <c r="A189" s="21" t="s">
        <v>65</v>
      </c>
      <c r="B189" s="46">
        <v>0.48413671999999996</v>
      </c>
      <c r="C189" s="46">
        <v>0.37395004999999998</v>
      </c>
      <c r="D189" s="46">
        <v>0.83366202</v>
      </c>
      <c r="E189" s="174"/>
      <c r="F189" s="46" t="s">
        <v>7</v>
      </c>
      <c r="G189" s="46">
        <v>6.5224820000000003E-2</v>
      </c>
      <c r="H189" s="46">
        <v>0</v>
      </c>
      <c r="I189" s="46">
        <v>6.1479099999999995E-3</v>
      </c>
      <c r="J189" s="46"/>
      <c r="K189" s="46" t="s">
        <v>6</v>
      </c>
      <c r="L189" s="46">
        <v>0</v>
      </c>
      <c r="M189" s="46">
        <v>0</v>
      </c>
      <c r="N189" s="46">
        <v>0</v>
      </c>
      <c r="V189" s="18"/>
      <c r="W189" s="18"/>
      <c r="X189" s="18"/>
      <c r="Y189" s="18"/>
      <c r="AA189" s="18"/>
      <c r="AB189" s="18"/>
      <c r="AC189" s="18"/>
      <c r="AF189" s="18"/>
      <c r="AG189" s="18"/>
      <c r="AH189" s="18"/>
    </row>
    <row r="190" spans="1:34" x14ac:dyDescent="0.35">
      <c r="A190" s="21" t="s">
        <v>69</v>
      </c>
      <c r="B190" s="46">
        <v>1.3301340800000001</v>
      </c>
      <c r="C190" s="46">
        <v>1.1954968799999999</v>
      </c>
      <c r="D190" s="46">
        <v>0.82316880000000003</v>
      </c>
      <c r="E190" s="174"/>
      <c r="F190" s="46" t="s">
        <v>6</v>
      </c>
      <c r="G190" s="46">
        <v>4.6263890000000002E-2</v>
      </c>
      <c r="H190" s="46">
        <v>0</v>
      </c>
      <c r="I190" s="46">
        <v>4.3087100000000003E-3</v>
      </c>
      <c r="J190" s="46"/>
      <c r="K190" s="46" t="s">
        <v>350</v>
      </c>
      <c r="L190" s="46">
        <v>5.9857000000000009E-4</v>
      </c>
      <c r="M190" s="46">
        <v>0</v>
      </c>
      <c r="N190" s="46">
        <v>0</v>
      </c>
      <c r="V190" s="18"/>
      <c r="W190" s="18"/>
      <c r="X190" s="18"/>
      <c r="Y190" s="18"/>
      <c r="AA190" s="18"/>
      <c r="AB190" s="18"/>
      <c r="AC190" s="18"/>
      <c r="AF190" s="18"/>
      <c r="AG190" s="18"/>
      <c r="AH190" s="18"/>
    </row>
    <row r="191" spans="1:34" x14ac:dyDescent="0.35">
      <c r="A191" s="21" t="s">
        <v>91</v>
      </c>
      <c r="B191" s="46">
        <v>0.79638401000000003</v>
      </c>
      <c r="C191" s="46">
        <v>0.61560828000000001</v>
      </c>
      <c r="D191" s="46">
        <v>0.80761502000000007</v>
      </c>
      <c r="E191" s="174"/>
      <c r="F191" s="46" t="s">
        <v>350</v>
      </c>
      <c r="G191" s="46">
        <v>2.3442563299999999</v>
      </c>
      <c r="H191" s="46">
        <v>6.6184630000000008E-2</v>
      </c>
      <c r="I191" s="46">
        <v>4.0491099999999999E-3</v>
      </c>
      <c r="J191" s="46"/>
      <c r="K191" s="46" t="s">
        <v>7</v>
      </c>
      <c r="L191" s="46">
        <v>0</v>
      </c>
      <c r="M191" s="46">
        <v>0</v>
      </c>
      <c r="N191" s="46">
        <v>0</v>
      </c>
      <c r="V191" s="18"/>
      <c r="W191" s="18"/>
      <c r="X191" s="18"/>
      <c r="Y191" s="18"/>
      <c r="AA191" s="18"/>
      <c r="AB191" s="18"/>
      <c r="AC191" s="18"/>
      <c r="AF191" s="18"/>
      <c r="AG191" s="18"/>
      <c r="AH191" s="18"/>
    </row>
    <row r="192" spans="1:34" ht="12.65" customHeight="1" x14ac:dyDescent="0.35">
      <c r="A192" s="21" t="s">
        <v>211</v>
      </c>
      <c r="B192" s="46">
        <v>8.5505649999999989E-2</v>
      </c>
      <c r="C192" s="46">
        <v>1.04674976</v>
      </c>
      <c r="D192" s="46">
        <v>0.74963911999999999</v>
      </c>
      <c r="E192" s="174"/>
      <c r="F192" s="46" t="s">
        <v>55</v>
      </c>
      <c r="G192" s="46">
        <v>0</v>
      </c>
      <c r="H192" s="46">
        <v>3.6671999999999998E-3</v>
      </c>
      <c r="I192" s="46">
        <v>3.0814899999999997E-3</v>
      </c>
      <c r="J192" s="46"/>
      <c r="K192" s="46" t="s">
        <v>10</v>
      </c>
      <c r="L192" s="46">
        <v>0</v>
      </c>
      <c r="M192" s="46">
        <v>5.3033999999999998E-2</v>
      </c>
      <c r="N192" s="46">
        <v>0</v>
      </c>
      <c r="V192" s="18"/>
      <c r="W192" s="18"/>
      <c r="X192" s="18"/>
      <c r="Y192" s="18"/>
      <c r="AA192" s="18"/>
      <c r="AB192" s="18"/>
      <c r="AC192" s="18"/>
      <c r="AF192" s="18"/>
      <c r="AG192" s="18"/>
      <c r="AH192" s="18"/>
    </row>
    <row r="193" spans="1:34" x14ac:dyDescent="0.35">
      <c r="A193" s="21" t="s">
        <v>70</v>
      </c>
      <c r="B193" s="46">
        <v>2.18228746</v>
      </c>
      <c r="C193" s="46">
        <v>1.8809640700000001</v>
      </c>
      <c r="D193" s="46">
        <v>0.74944980000000005</v>
      </c>
      <c r="E193" s="174"/>
      <c r="F193" s="46" t="s">
        <v>12</v>
      </c>
      <c r="G193" s="46">
        <v>77.179121530000003</v>
      </c>
      <c r="H193" s="46">
        <v>9.378E-5</v>
      </c>
      <c r="I193" s="46">
        <v>2.1065100000000002E-3</v>
      </c>
      <c r="J193" s="46"/>
      <c r="K193" s="46" t="s">
        <v>401</v>
      </c>
      <c r="L193" s="46">
        <v>0</v>
      </c>
      <c r="M193" s="46">
        <v>0</v>
      </c>
      <c r="N193" s="46">
        <v>0</v>
      </c>
      <c r="V193" s="18"/>
      <c r="W193" s="18"/>
      <c r="X193" s="18"/>
      <c r="Y193" s="18"/>
      <c r="AA193" s="18"/>
      <c r="AB193" s="18"/>
      <c r="AC193" s="18"/>
      <c r="AF193" s="18"/>
      <c r="AG193" s="18"/>
      <c r="AH193" s="18"/>
    </row>
    <row r="194" spans="1:34" x14ac:dyDescent="0.35">
      <c r="A194" s="21" t="s">
        <v>43</v>
      </c>
      <c r="B194" s="46">
        <v>0.67320279000000005</v>
      </c>
      <c r="C194" s="46">
        <v>0.56723195999999998</v>
      </c>
      <c r="D194" s="46">
        <v>0.70412849</v>
      </c>
      <c r="E194" s="174"/>
      <c r="F194" s="46" t="s">
        <v>36</v>
      </c>
      <c r="G194" s="46">
        <v>3.7241399999999999E-3</v>
      </c>
      <c r="H194" s="46">
        <v>7.3899999999999997E-4</v>
      </c>
      <c r="I194" s="46">
        <v>1.0889999999999999E-3</v>
      </c>
      <c r="J194" s="46"/>
      <c r="K194" s="46" t="s">
        <v>12</v>
      </c>
      <c r="L194" s="46">
        <v>0</v>
      </c>
      <c r="M194" s="46">
        <v>0</v>
      </c>
      <c r="N194" s="46">
        <v>0</v>
      </c>
      <c r="V194" s="18"/>
      <c r="W194" s="18"/>
      <c r="X194" s="18"/>
      <c r="Y194" s="18"/>
      <c r="AA194" s="18"/>
      <c r="AB194" s="18"/>
      <c r="AC194" s="18"/>
      <c r="AF194" s="18"/>
      <c r="AG194" s="18"/>
      <c r="AH194" s="18"/>
    </row>
    <row r="195" spans="1:34" x14ac:dyDescent="0.35">
      <c r="A195" s="21" t="s">
        <v>354</v>
      </c>
      <c r="B195" s="46">
        <v>0.55300086999999998</v>
      </c>
      <c r="C195" s="46">
        <v>0.23729992999999999</v>
      </c>
      <c r="D195" s="46">
        <v>0.68774584999999999</v>
      </c>
      <c r="E195" s="174"/>
      <c r="F195" s="46" t="s">
        <v>183</v>
      </c>
      <c r="G195" s="46">
        <v>9.0703899999999994E-3</v>
      </c>
      <c r="H195" s="46">
        <v>0.97742933999999992</v>
      </c>
      <c r="I195" s="46">
        <v>9.6783000000000004E-4</v>
      </c>
      <c r="J195" s="46"/>
      <c r="K195" s="46" t="s">
        <v>370</v>
      </c>
      <c r="L195" s="46">
        <v>4.0350999999999999E-4</v>
      </c>
      <c r="M195" s="46">
        <v>0</v>
      </c>
      <c r="N195" s="46">
        <v>0</v>
      </c>
      <c r="V195" s="18"/>
      <c r="W195" s="18"/>
      <c r="X195" s="18"/>
      <c r="Y195" s="18"/>
      <c r="AA195" s="18"/>
      <c r="AB195" s="18"/>
      <c r="AC195" s="18"/>
      <c r="AF195" s="18"/>
      <c r="AG195" s="18"/>
      <c r="AH195" s="18"/>
    </row>
    <row r="196" spans="1:34" x14ac:dyDescent="0.35">
      <c r="A196" s="21" t="s">
        <v>201</v>
      </c>
      <c r="B196" s="46">
        <v>4.8362126399999994</v>
      </c>
      <c r="C196" s="46">
        <v>6.1506609699999997</v>
      </c>
      <c r="D196" s="46">
        <v>0.68752351</v>
      </c>
      <c r="E196" s="174"/>
      <c r="F196" s="46" t="s">
        <v>351</v>
      </c>
      <c r="G196" s="46">
        <v>167.48261252</v>
      </c>
      <c r="H196" s="46">
        <v>84.977555069999994</v>
      </c>
      <c r="I196" s="46">
        <v>8.9979999999999997E-4</v>
      </c>
      <c r="J196" s="46"/>
      <c r="K196" s="46" t="s">
        <v>19</v>
      </c>
      <c r="L196" s="46">
        <v>0</v>
      </c>
      <c r="M196" s="46">
        <v>2.0459999999999999E-4</v>
      </c>
      <c r="N196" s="46">
        <v>0</v>
      </c>
      <c r="V196" s="18"/>
      <c r="W196" s="18"/>
      <c r="X196" s="18"/>
      <c r="Y196" s="18"/>
      <c r="AA196" s="18"/>
      <c r="AB196" s="18"/>
      <c r="AC196" s="18"/>
      <c r="AF196" s="18"/>
      <c r="AG196" s="18"/>
      <c r="AH196" s="18"/>
    </row>
    <row r="197" spans="1:34" x14ac:dyDescent="0.35">
      <c r="A197" s="21" t="s">
        <v>365</v>
      </c>
      <c r="B197" s="46">
        <v>3.2450999999999999E-3</v>
      </c>
      <c r="C197" s="46">
        <v>6.5604711299999998</v>
      </c>
      <c r="D197" s="46">
        <v>0.60813899999999999</v>
      </c>
      <c r="E197" s="174"/>
      <c r="F197" s="46" t="s">
        <v>82</v>
      </c>
      <c r="G197" s="46">
        <v>8.6839400000000011E-3</v>
      </c>
      <c r="H197" s="46">
        <v>0.85007887999999998</v>
      </c>
      <c r="I197" s="46">
        <v>8.7500999999999996E-4</v>
      </c>
      <c r="J197" s="46"/>
      <c r="K197" s="46" t="s">
        <v>347</v>
      </c>
      <c r="L197" s="46">
        <v>0</v>
      </c>
      <c r="M197" s="46">
        <v>5.1769320000000001E-2</v>
      </c>
      <c r="N197" s="46">
        <v>0</v>
      </c>
      <c r="V197" s="18"/>
      <c r="W197" s="18"/>
      <c r="X197" s="18"/>
      <c r="Y197" s="18"/>
      <c r="AA197" s="18"/>
      <c r="AB197" s="18"/>
      <c r="AC197" s="18"/>
      <c r="AF197" s="18"/>
      <c r="AG197" s="18"/>
      <c r="AH197" s="18"/>
    </row>
    <row r="198" spans="1:34" x14ac:dyDescent="0.35">
      <c r="A198" s="21" t="s">
        <v>13</v>
      </c>
      <c r="B198" s="46">
        <v>0.14463983999999999</v>
      </c>
      <c r="C198" s="46">
        <v>0.31306841999999996</v>
      </c>
      <c r="D198" s="46">
        <v>0.55525267</v>
      </c>
      <c r="E198" s="174"/>
      <c r="F198" s="46" t="s">
        <v>203</v>
      </c>
      <c r="G198" s="46">
        <v>0.13689736999999999</v>
      </c>
      <c r="H198" s="46">
        <v>0</v>
      </c>
      <c r="I198" s="46">
        <v>5.6198000000000001E-4</v>
      </c>
      <c r="J198" s="46"/>
      <c r="K198" s="46" t="s">
        <v>384</v>
      </c>
      <c r="L198" s="46">
        <v>0</v>
      </c>
      <c r="M198" s="46">
        <v>1.7582000000000001E-3</v>
      </c>
      <c r="N198" s="46">
        <v>0</v>
      </c>
      <c r="V198" s="18"/>
      <c r="W198" s="18"/>
      <c r="X198" s="18"/>
      <c r="Y198" s="18"/>
      <c r="AA198" s="18"/>
      <c r="AB198" s="18"/>
      <c r="AC198" s="18"/>
      <c r="AF198" s="18"/>
      <c r="AG198" s="18"/>
      <c r="AH198" s="18"/>
    </row>
    <row r="199" spans="1:34" x14ac:dyDescent="0.35">
      <c r="A199" s="21" t="s">
        <v>199</v>
      </c>
      <c r="B199" s="46">
        <v>0.30438896000000004</v>
      </c>
      <c r="C199" s="46">
        <v>0.52940564000000001</v>
      </c>
      <c r="D199" s="46">
        <v>0.54865664000000003</v>
      </c>
      <c r="E199" s="174"/>
      <c r="F199" s="46" t="s">
        <v>45</v>
      </c>
      <c r="G199" s="46">
        <v>1.87909104</v>
      </c>
      <c r="H199" s="46">
        <v>0</v>
      </c>
      <c r="I199" s="46">
        <v>2.7401999999999998E-4</v>
      </c>
      <c r="J199" s="46"/>
      <c r="K199" s="46" t="s">
        <v>382</v>
      </c>
      <c r="L199" s="46">
        <v>0</v>
      </c>
      <c r="M199" s="46">
        <v>0</v>
      </c>
      <c r="N199" s="46">
        <v>0</v>
      </c>
      <c r="V199" s="18"/>
      <c r="W199" s="18"/>
      <c r="X199" s="18"/>
      <c r="Y199" s="18"/>
      <c r="AA199" s="18"/>
      <c r="AB199" s="18"/>
      <c r="AC199" s="18"/>
      <c r="AF199" s="18"/>
      <c r="AG199" s="18"/>
      <c r="AH199" s="18"/>
    </row>
    <row r="200" spans="1:34" x14ac:dyDescent="0.35">
      <c r="A200" s="21" t="s">
        <v>372</v>
      </c>
      <c r="B200" s="46">
        <v>0.77837575000000003</v>
      </c>
      <c r="C200" s="46">
        <v>0.46026701000000003</v>
      </c>
      <c r="D200" s="46">
        <v>0.49001878000000004</v>
      </c>
      <c r="E200" s="174"/>
      <c r="F200" s="46" t="s">
        <v>211</v>
      </c>
      <c r="G200" s="46">
        <v>0.81728566000000002</v>
      </c>
      <c r="H200" s="46">
        <v>3.2083899999999998E-3</v>
      </c>
      <c r="I200" s="46">
        <v>2.7326999999999999E-4</v>
      </c>
      <c r="J200" s="46"/>
      <c r="K200" s="46" t="s">
        <v>32</v>
      </c>
      <c r="L200" s="46">
        <v>0</v>
      </c>
      <c r="M200" s="46">
        <v>0</v>
      </c>
      <c r="N200" s="46">
        <v>0</v>
      </c>
      <c r="V200" s="18"/>
      <c r="W200" s="18"/>
      <c r="X200" s="18"/>
      <c r="Y200" s="18"/>
      <c r="AA200" s="18"/>
      <c r="AB200" s="18"/>
      <c r="AC200" s="18"/>
      <c r="AF200" s="18"/>
      <c r="AG200" s="18"/>
      <c r="AH200" s="18"/>
    </row>
    <row r="201" spans="1:34" x14ac:dyDescent="0.35">
      <c r="A201" s="21" t="s">
        <v>98</v>
      </c>
      <c r="B201" s="46">
        <v>0.42372061999999999</v>
      </c>
      <c r="C201" s="46">
        <v>0.47728888000000003</v>
      </c>
      <c r="D201" s="46">
        <v>0.46693327000000001</v>
      </c>
      <c r="E201" s="174"/>
      <c r="F201" s="46" t="s">
        <v>401</v>
      </c>
      <c r="G201" s="46">
        <v>0</v>
      </c>
      <c r="H201" s="46">
        <v>0</v>
      </c>
      <c r="I201" s="46">
        <v>1.749E-4</v>
      </c>
      <c r="J201" s="46"/>
      <c r="K201" s="46" t="s">
        <v>33</v>
      </c>
      <c r="L201" s="46">
        <v>1.9824999999999999E-4</v>
      </c>
      <c r="M201" s="46">
        <v>2.1054E-4</v>
      </c>
      <c r="N201" s="46">
        <v>0</v>
      </c>
      <c r="V201" s="18"/>
      <c r="W201" s="18"/>
      <c r="X201" s="18"/>
      <c r="Y201" s="18"/>
      <c r="AA201" s="18"/>
      <c r="AB201" s="18"/>
      <c r="AC201" s="18"/>
      <c r="AF201" s="18"/>
      <c r="AG201" s="18"/>
      <c r="AH201" s="18"/>
    </row>
    <row r="202" spans="1:34" x14ac:dyDescent="0.35">
      <c r="A202" s="21" t="s">
        <v>183</v>
      </c>
      <c r="B202" s="46">
        <v>0.80611708999999998</v>
      </c>
      <c r="C202" s="46">
        <v>4.45489405</v>
      </c>
      <c r="D202" s="46">
        <v>0.46670868999999998</v>
      </c>
      <c r="E202" s="174"/>
      <c r="F202" s="46" t="s">
        <v>48</v>
      </c>
      <c r="G202" s="46">
        <v>73.379168030000002</v>
      </c>
      <c r="H202" s="46">
        <v>2.5771979300000001</v>
      </c>
      <c r="I202" s="46">
        <v>1.2037E-4</v>
      </c>
      <c r="J202" s="46"/>
      <c r="K202" s="46" t="s">
        <v>383</v>
      </c>
      <c r="L202" s="46">
        <v>8.14E-5</v>
      </c>
      <c r="M202" s="46">
        <v>0</v>
      </c>
      <c r="N202" s="46">
        <v>0</v>
      </c>
      <c r="V202" s="18"/>
      <c r="W202" s="18"/>
      <c r="X202" s="18"/>
      <c r="Y202" s="18"/>
      <c r="AA202" s="18"/>
      <c r="AB202" s="18"/>
      <c r="AC202" s="18"/>
      <c r="AF202" s="18"/>
      <c r="AG202" s="18"/>
      <c r="AH202" s="18"/>
    </row>
    <row r="203" spans="1:34" x14ac:dyDescent="0.35">
      <c r="A203" s="21" t="s">
        <v>170</v>
      </c>
      <c r="B203" s="46">
        <v>0.46529592999999997</v>
      </c>
      <c r="C203" s="46">
        <v>0.75875534</v>
      </c>
      <c r="D203" s="46">
        <v>0.44558033000000002</v>
      </c>
      <c r="E203" s="174"/>
      <c r="F203" s="46" t="s">
        <v>0</v>
      </c>
      <c r="G203" s="46">
        <v>0</v>
      </c>
      <c r="H203" s="46">
        <v>0</v>
      </c>
      <c r="I203" s="46">
        <v>0</v>
      </c>
      <c r="J203" s="46"/>
      <c r="K203" s="46" t="s">
        <v>34</v>
      </c>
      <c r="L203" s="46">
        <v>0</v>
      </c>
      <c r="M203" s="46">
        <v>0</v>
      </c>
      <c r="N203" s="46">
        <v>0</v>
      </c>
      <c r="V203" s="18"/>
      <c r="W203" s="18"/>
      <c r="X203" s="18"/>
      <c r="Y203" s="18"/>
      <c r="AA203" s="18"/>
      <c r="AB203" s="18"/>
      <c r="AC203" s="18"/>
      <c r="AF203" s="18"/>
      <c r="AG203" s="18"/>
      <c r="AH203" s="18"/>
    </row>
    <row r="204" spans="1:34" x14ac:dyDescent="0.35">
      <c r="A204" s="21" t="s">
        <v>152</v>
      </c>
      <c r="B204" s="46">
        <v>1.5443678300000001</v>
      </c>
      <c r="C204" s="46">
        <v>1.7012781000000001</v>
      </c>
      <c r="D204" s="46">
        <v>0.41545459000000001</v>
      </c>
      <c r="E204" s="174"/>
      <c r="F204" s="46" t="s">
        <v>370</v>
      </c>
      <c r="G204" s="46">
        <v>1.14582596</v>
      </c>
      <c r="H204" s="46">
        <v>0</v>
      </c>
      <c r="I204" s="46">
        <v>0</v>
      </c>
      <c r="J204" s="46"/>
      <c r="K204" s="46" t="s">
        <v>366</v>
      </c>
      <c r="L204" s="46">
        <v>0</v>
      </c>
      <c r="M204" s="46">
        <v>0</v>
      </c>
      <c r="N204" s="46">
        <v>0</v>
      </c>
      <c r="V204" s="18"/>
      <c r="W204" s="18"/>
      <c r="X204" s="18"/>
      <c r="Y204" s="18"/>
      <c r="AA204" s="18"/>
      <c r="AB204" s="18"/>
      <c r="AC204" s="18"/>
      <c r="AF204" s="18"/>
      <c r="AG204" s="18"/>
      <c r="AH204" s="18"/>
    </row>
    <row r="205" spans="1:34" x14ac:dyDescent="0.35">
      <c r="A205" s="21" t="s">
        <v>368</v>
      </c>
      <c r="B205" s="46">
        <v>0</v>
      </c>
      <c r="C205" s="46">
        <v>1.0227430500000001</v>
      </c>
      <c r="D205" s="46">
        <v>0.35511633000000004</v>
      </c>
      <c r="E205" s="174"/>
      <c r="F205" s="46" t="s">
        <v>14</v>
      </c>
      <c r="G205" s="46">
        <v>1.7472200000000001E-3</v>
      </c>
      <c r="H205" s="46">
        <v>0</v>
      </c>
      <c r="I205" s="46">
        <v>0</v>
      </c>
      <c r="J205" s="46"/>
      <c r="K205" s="46" t="s">
        <v>36</v>
      </c>
      <c r="L205" s="46">
        <v>0</v>
      </c>
      <c r="M205" s="46">
        <v>4.4956E-4</v>
      </c>
      <c r="N205" s="46">
        <v>0</v>
      </c>
      <c r="V205" s="18"/>
      <c r="W205" s="18"/>
      <c r="X205" s="18"/>
      <c r="Y205" s="18"/>
      <c r="AA205" s="18"/>
      <c r="AB205" s="18"/>
      <c r="AC205" s="18"/>
      <c r="AF205" s="18"/>
      <c r="AG205" s="18"/>
      <c r="AH205" s="18"/>
    </row>
    <row r="206" spans="1:34" x14ac:dyDescent="0.35">
      <c r="A206" s="21" t="s">
        <v>203</v>
      </c>
      <c r="B206" s="46">
        <v>0.39504908</v>
      </c>
      <c r="C206" s="46">
        <v>0.97758840000000002</v>
      </c>
      <c r="D206" s="46">
        <v>0.34695142000000001</v>
      </c>
      <c r="E206" s="174"/>
      <c r="F206" s="46" t="s">
        <v>347</v>
      </c>
      <c r="G206" s="46">
        <v>0</v>
      </c>
      <c r="H206" s="46">
        <v>0</v>
      </c>
      <c r="I206" s="46">
        <v>0</v>
      </c>
      <c r="J206" s="46"/>
      <c r="K206" s="46" t="s">
        <v>37</v>
      </c>
      <c r="L206" s="46">
        <v>3.1939299999999998E-3</v>
      </c>
      <c r="M206" s="46">
        <v>0</v>
      </c>
      <c r="N206" s="46">
        <v>0</v>
      </c>
      <c r="V206" s="18"/>
      <c r="W206" s="18"/>
      <c r="X206" s="18"/>
      <c r="Y206" s="18"/>
      <c r="AA206" s="18"/>
      <c r="AB206" s="18"/>
      <c r="AC206" s="18"/>
      <c r="AF206" s="18"/>
      <c r="AG206" s="18"/>
      <c r="AH206" s="18"/>
    </row>
    <row r="207" spans="1:34" x14ac:dyDescent="0.35">
      <c r="A207" s="21" t="s">
        <v>44</v>
      </c>
      <c r="B207" s="46">
        <v>0.18135646</v>
      </c>
      <c r="C207" s="46">
        <v>0.42523022999999999</v>
      </c>
      <c r="D207" s="46">
        <v>0.34485167</v>
      </c>
      <c r="E207" s="174"/>
      <c r="F207" s="46" t="s">
        <v>382</v>
      </c>
      <c r="G207" s="46">
        <v>0</v>
      </c>
      <c r="H207" s="46">
        <v>0</v>
      </c>
      <c r="I207" s="46">
        <v>0</v>
      </c>
      <c r="J207" s="46"/>
      <c r="K207" s="46" t="s">
        <v>38</v>
      </c>
      <c r="L207" s="46">
        <v>8.6758080000000001E-2</v>
      </c>
      <c r="M207" s="46">
        <v>0</v>
      </c>
      <c r="N207" s="46">
        <v>0</v>
      </c>
      <c r="V207" s="18"/>
      <c r="W207" s="18"/>
      <c r="X207" s="18"/>
      <c r="Y207" s="18"/>
      <c r="AA207" s="18"/>
      <c r="AB207" s="18"/>
      <c r="AC207" s="18"/>
      <c r="AF207" s="18"/>
      <c r="AG207" s="18"/>
      <c r="AH207" s="18"/>
    </row>
    <row r="208" spans="1:34" x14ac:dyDescent="0.35">
      <c r="A208" s="21" t="s">
        <v>378</v>
      </c>
      <c r="B208" s="46">
        <v>1.32346334</v>
      </c>
      <c r="C208" s="46">
        <v>0.98627409999999993</v>
      </c>
      <c r="D208" s="46">
        <v>0.31115146999999999</v>
      </c>
      <c r="E208" s="174"/>
      <c r="F208" s="46" t="s">
        <v>32</v>
      </c>
      <c r="G208" s="46">
        <v>0</v>
      </c>
      <c r="H208" s="46">
        <v>0</v>
      </c>
      <c r="I208" s="46">
        <v>0</v>
      </c>
      <c r="J208" s="46"/>
      <c r="K208" s="46" t="s">
        <v>39</v>
      </c>
      <c r="L208" s="46">
        <v>0</v>
      </c>
      <c r="M208" s="46">
        <v>0</v>
      </c>
      <c r="N208" s="46">
        <v>0</v>
      </c>
      <c r="V208" s="18"/>
      <c r="W208" s="18"/>
      <c r="X208" s="18"/>
      <c r="Y208" s="18"/>
      <c r="AA208" s="18"/>
      <c r="AB208" s="18"/>
      <c r="AC208" s="18"/>
      <c r="AF208" s="18"/>
      <c r="AG208" s="18"/>
      <c r="AH208" s="18"/>
    </row>
    <row r="209" spans="1:34" x14ac:dyDescent="0.35">
      <c r="A209" s="21" t="s">
        <v>347</v>
      </c>
      <c r="B209" s="46">
        <v>0.20534873000000001</v>
      </c>
      <c r="C209" s="46">
        <v>0.19701454999999998</v>
      </c>
      <c r="D209" s="46">
        <v>0.30913739000000001</v>
      </c>
      <c r="E209" s="174"/>
      <c r="F209" s="46" t="s">
        <v>33</v>
      </c>
      <c r="G209" s="46">
        <v>1.083041E-2</v>
      </c>
      <c r="H209" s="46">
        <v>3.0267E-4</v>
      </c>
      <c r="I209" s="46">
        <v>0</v>
      </c>
      <c r="J209" s="46"/>
      <c r="K209" s="46" t="s">
        <v>40</v>
      </c>
      <c r="L209" s="46">
        <v>0</v>
      </c>
      <c r="M209" s="46">
        <v>0</v>
      </c>
      <c r="N209" s="46">
        <v>0</v>
      </c>
      <c r="V209" s="18"/>
      <c r="W209" s="18"/>
      <c r="X209" s="18"/>
      <c r="Y209" s="18"/>
      <c r="AA209" s="18"/>
      <c r="AB209" s="18"/>
      <c r="AC209" s="18"/>
      <c r="AF209" s="18"/>
      <c r="AG209" s="18"/>
      <c r="AH209" s="18"/>
    </row>
    <row r="210" spans="1:34" x14ac:dyDescent="0.35">
      <c r="A210" s="21" t="s">
        <v>348</v>
      </c>
      <c r="B210" s="46">
        <v>0.35038000000000002</v>
      </c>
      <c r="C210" s="46">
        <v>1.78287756</v>
      </c>
      <c r="D210" s="46">
        <v>0.30685637999999998</v>
      </c>
      <c r="E210" s="174"/>
      <c r="F210" s="46" t="s">
        <v>383</v>
      </c>
      <c r="G210" s="46">
        <v>0</v>
      </c>
      <c r="H210" s="46">
        <v>3.1636249999999998E-2</v>
      </c>
      <c r="I210" s="46">
        <v>0</v>
      </c>
      <c r="J210" s="46"/>
      <c r="K210" s="46" t="s">
        <v>399</v>
      </c>
      <c r="L210" s="46">
        <v>0</v>
      </c>
      <c r="M210" s="46">
        <v>0</v>
      </c>
      <c r="N210" s="46">
        <v>0</v>
      </c>
      <c r="V210" s="18"/>
      <c r="W210" s="18"/>
      <c r="X210" s="18"/>
      <c r="Y210" s="18"/>
      <c r="AA210" s="18"/>
      <c r="AB210" s="18"/>
      <c r="AC210" s="18"/>
      <c r="AF210" s="18"/>
      <c r="AG210" s="18"/>
      <c r="AH210" s="18"/>
    </row>
    <row r="211" spans="1:34" x14ac:dyDescent="0.35">
      <c r="A211" s="21" t="s">
        <v>33</v>
      </c>
      <c r="B211" s="46">
        <v>0.30272671999999995</v>
      </c>
      <c r="C211" s="46">
        <v>0.46974245000000003</v>
      </c>
      <c r="D211" s="46">
        <v>0.23165151</v>
      </c>
      <c r="E211" s="174"/>
      <c r="F211" s="46" t="s">
        <v>34</v>
      </c>
      <c r="G211" s="46">
        <v>0.75088568</v>
      </c>
      <c r="H211" s="46">
        <v>3.8861559999999996E-2</v>
      </c>
      <c r="I211" s="46">
        <v>0</v>
      </c>
      <c r="J211" s="46"/>
      <c r="K211" s="46" t="s">
        <v>377</v>
      </c>
      <c r="L211" s="46">
        <v>0</v>
      </c>
      <c r="M211" s="46">
        <v>0</v>
      </c>
      <c r="N211" s="46">
        <v>0</v>
      </c>
      <c r="V211" s="18"/>
      <c r="W211" s="18"/>
      <c r="X211" s="18"/>
      <c r="Y211" s="18"/>
      <c r="AA211" s="18"/>
      <c r="AB211" s="18"/>
      <c r="AC211" s="18"/>
      <c r="AF211" s="18"/>
      <c r="AG211" s="18"/>
      <c r="AH211" s="18"/>
    </row>
    <row r="212" spans="1:34" x14ac:dyDescent="0.35">
      <c r="A212" s="21" t="s">
        <v>35</v>
      </c>
      <c r="B212" s="46">
        <v>0.67241963000000005</v>
      </c>
      <c r="C212" s="46">
        <v>7.9820370000000002E-2</v>
      </c>
      <c r="D212" s="46">
        <v>0.22076299999999999</v>
      </c>
      <c r="E212" s="174"/>
      <c r="F212" s="46" t="s">
        <v>35</v>
      </c>
      <c r="G212" s="46">
        <v>1.199156E-2</v>
      </c>
      <c r="H212" s="46">
        <v>0</v>
      </c>
      <c r="I212" s="46">
        <v>0</v>
      </c>
      <c r="J212" s="46"/>
      <c r="K212" s="46" t="s">
        <v>372</v>
      </c>
      <c r="L212" s="46">
        <v>0</v>
      </c>
      <c r="M212" s="46">
        <v>0</v>
      </c>
      <c r="N212" s="46">
        <v>0</v>
      </c>
      <c r="V212" s="18"/>
      <c r="W212" s="18"/>
      <c r="X212" s="18"/>
      <c r="Y212" s="18"/>
      <c r="AA212" s="18"/>
      <c r="AB212" s="18"/>
      <c r="AC212" s="18"/>
      <c r="AF212" s="18"/>
      <c r="AG212" s="18"/>
      <c r="AH212" s="18"/>
    </row>
    <row r="213" spans="1:34" x14ac:dyDescent="0.35">
      <c r="A213" s="21" t="s">
        <v>97</v>
      </c>
      <c r="B213" s="46">
        <v>1.8126805500000001</v>
      </c>
      <c r="C213" s="46">
        <v>3.79553406</v>
      </c>
      <c r="D213" s="46">
        <v>0.20503058999999998</v>
      </c>
      <c r="E213" s="174"/>
      <c r="F213" s="46" t="s">
        <v>366</v>
      </c>
      <c r="G213" s="46">
        <v>0</v>
      </c>
      <c r="H213" s="46">
        <v>0</v>
      </c>
      <c r="I213" s="46">
        <v>0</v>
      </c>
      <c r="J213" s="46"/>
      <c r="K213" s="46" t="s">
        <v>42</v>
      </c>
      <c r="L213" s="46">
        <v>0</v>
      </c>
      <c r="M213" s="46">
        <v>0</v>
      </c>
      <c r="N213" s="46">
        <v>0</v>
      </c>
      <c r="V213" s="18"/>
      <c r="W213" s="18"/>
      <c r="X213" s="18"/>
      <c r="Y213" s="18"/>
      <c r="AA213" s="18"/>
      <c r="AB213" s="18"/>
      <c r="AC213" s="18"/>
      <c r="AF213" s="18"/>
      <c r="AG213" s="18"/>
      <c r="AH213" s="18"/>
    </row>
    <row r="214" spans="1:34" x14ac:dyDescent="0.35">
      <c r="A214" s="21" t="s">
        <v>379</v>
      </c>
      <c r="B214" s="46">
        <v>2.1041008300000001</v>
      </c>
      <c r="C214" s="46">
        <v>0.94754525000000001</v>
      </c>
      <c r="D214" s="46">
        <v>0.20461672</v>
      </c>
      <c r="E214" s="174"/>
      <c r="F214" s="46" t="s">
        <v>37</v>
      </c>
      <c r="G214" s="46">
        <v>0</v>
      </c>
      <c r="H214" s="46">
        <v>3.9955999999999998E-4</v>
      </c>
      <c r="I214" s="46">
        <v>0</v>
      </c>
      <c r="J214" s="46"/>
      <c r="K214" s="46" t="s">
        <v>44</v>
      </c>
      <c r="L214" s="46">
        <v>0</v>
      </c>
      <c r="M214" s="46">
        <v>0</v>
      </c>
      <c r="N214" s="46">
        <v>0</v>
      </c>
      <c r="V214" s="18"/>
      <c r="W214" s="18"/>
      <c r="X214" s="18"/>
      <c r="Y214" s="18"/>
      <c r="AA214" s="18"/>
      <c r="AB214" s="18"/>
      <c r="AC214" s="18"/>
      <c r="AF214" s="18"/>
      <c r="AG214" s="18"/>
      <c r="AH214" s="18"/>
    </row>
    <row r="215" spans="1:34" x14ac:dyDescent="0.35">
      <c r="A215" s="21" t="s">
        <v>148</v>
      </c>
      <c r="B215" s="46">
        <v>0.23046898000000002</v>
      </c>
      <c r="C215" s="46">
        <v>0.84266025</v>
      </c>
      <c r="D215" s="46">
        <v>0.19837001000000001</v>
      </c>
      <c r="E215" s="174"/>
      <c r="F215" s="46" t="s">
        <v>38</v>
      </c>
      <c r="G215" s="46">
        <v>0.10500319</v>
      </c>
      <c r="H215" s="46">
        <v>0</v>
      </c>
      <c r="I215" s="46">
        <v>0</v>
      </c>
      <c r="J215" s="46"/>
      <c r="K215" s="46" t="s">
        <v>46</v>
      </c>
      <c r="L215" s="46">
        <v>0</v>
      </c>
      <c r="M215" s="46">
        <v>0</v>
      </c>
      <c r="N215" s="46">
        <v>0</v>
      </c>
      <c r="V215" s="18"/>
      <c r="W215" s="18"/>
      <c r="X215" s="18"/>
      <c r="Y215" s="18"/>
      <c r="AA215" s="18"/>
      <c r="AB215" s="18"/>
      <c r="AC215" s="18"/>
      <c r="AF215" s="18"/>
      <c r="AG215" s="18"/>
      <c r="AH215" s="18"/>
    </row>
    <row r="216" spans="1:34" x14ac:dyDescent="0.35">
      <c r="A216" s="21" t="s">
        <v>55</v>
      </c>
      <c r="B216" s="46">
        <v>47.385776899999996</v>
      </c>
      <c r="C216" s="46">
        <v>2.6407499999999999E-3</v>
      </c>
      <c r="D216" s="46">
        <v>0.192387</v>
      </c>
      <c r="E216" s="174"/>
      <c r="F216" s="46" t="s">
        <v>40</v>
      </c>
      <c r="G216" s="46">
        <v>0</v>
      </c>
      <c r="H216" s="46">
        <v>0</v>
      </c>
      <c r="I216" s="46">
        <v>0</v>
      </c>
      <c r="J216" s="46"/>
      <c r="K216" s="46" t="s">
        <v>49</v>
      </c>
      <c r="L216" s="46">
        <v>0</v>
      </c>
      <c r="M216" s="46">
        <v>0</v>
      </c>
      <c r="N216" s="46">
        <v>0</v>
      </c>
      <c r="V216" s="18"/>
      <c r="W216" s="18"/>
      <c r="X216" s="18"/>
      <c r="Y216" s="18"/>
      <c r="AA216" s="18"/>
      <c r="AB216" s="18"/>
      <c r="AC216" s="18"/>
      <c r="AF216" s="18"/>
      <c r="AG216" s="18"/>
      <c r="AH216" s="18"/>
    </row>
    <row r="217" spans="1:34" x14ac:dyDescent="0.35">
      <c r="A217" s="21" t="s">
        <v>60</v>
      </c>
      <c r="B217" s="46">
        <v>0.30169377000000003</v>
      </c>
      <c r="C217" s="46">
        <v>0.60776489</v>
      </c>
      <c r="D217" s="46">
        <v>0.19182331</v>
      </c>
      <c r="E217" s="174"/>
      <c r="F217" s="46" t="s">
        <v>41</v>
      </c>
      <c r="G217" s="46">
        <v>1.8716E-3</v>
      </c>
      <c r="H217" s="46">
        <v>0</v>
      </c>
      <c r="I217" s="46">
        <v>0</v>
      </c>
      <c r="J217" s="46"/>
      <c r="K217" s="46" t="s">
        <v>50</v>
      </c>
      <c r="L217" s="46">
        <v>0</v>
      </c>
      <c r="M217" s="46">
        <v>0</v>
      </c>
      <c r="N217" s="46">
        <v>0</v>
      </c>
      <c r="V217" s="18"/>
      <c r="W217" s="18"/>
      <c r="X217" s="18"/>
      <c r="Y217" s="18"/>
      <c r="AA217" s="18"/>
      <c r="AB217" s="18"/>
      <c r="AC217" s="18"/>
      <c r="AF217" s="18"/>
      <c r="AG217" s="18"/>
      <c r="AH217" s="18"/>
    </row>
    <row r="218" spans="1:34" x14ac:dyDescent="0.35">
      <c r="A218" s="21" t="s">
        <v>49</v>
      </c>
      <c r="B218" s="46">
        <v>2.6401000000000002E-4</v>
      </c>
      <c r="C218" s="46">
        <v>3.9899999999999998E-2</v>
      </c>
      <c r="D218" s="46">
        <v>0.18598000000000001</v>
      </c>
      <c r="E218" s="174"/>
      <c r="F218" s="46" t="s">
        <v>399</v>
      </c>
      <c r="G218" s="46">
        <v>0</v>
      </c>
      <c r="H218" s="46">
        <v>0</v>
      </c>
      <c r="I218" s="46">
        <v>0</v>
      </c>
      <c r="J218" s="46"/>
      <c r="K218" s="46" t="s">
        <v>52</v>
      </c>
      <c r="L218" s="46">
        <v>0</v>
      </c>
      <c r="M218" s="46">
        <v>0</v>
      </c>
      <c r="N218" s="46">
        <v>0</v>
      </c>
      <c r="V218" s="18"/>
      <c r="W218" s="18"/>
      <c r="X218" s="18"/>
      <c r="Y218" s="18"/>
      <c r="AA218" s="18"/>
      <c r="AB218" s="18"/>
      <c r="AC218" s="18"/>
      <c r="AF218" s="18"/>
      <c r="AG218" s="18"/>
      <c r="AH218" s="18"/>
    </row>
    <row r="219" spans="1:34" x14ac:dyDescent="0.35">
      <c r="A219" s="21" t="s">
        <v>108</v>
      </c>
      <c r="B219" s="46">
        <v>0.40411853999999997</v>
      </c>
      <c r="C219" s="46">
        <v>0.24202201999999998</v>
      </c>
      <c r="D219" s="46">
        <v>0.18300660000000002</v>
      </c>
      <c r="E219" s="174"/>
      <c r="F219" s="46" t="s">
        <v>373</v>
      </c>
      <c r="G219" s="46">
        <v>0</v>
      </c>
      <c r="H219" s="46">
        <v>0</v>
      </c>
      <c r="I219" s="46">
        <v>0</v>
      </c>
      <c r="J219" s="46"/>
      <c r="K219" s="46" t="s">
        <v>352</v>
      </c>
      <c r="L219" s="46">
        <v>0</v>
      </c>
      <c r="M219" s="46">
        <v>0</v>
      </c>
      <c r="N219" s="46">
        <v>0</v>
      </c>
      <c r="V219" s="18"/>
      <c r="W219" s="18"/>
      <c r="X219" s="18"/>
      <c r="Y219" s="18"/>
      <c r="AA219" s="18"/>
      <c r="AB219" s="18"/>
      <c r="AC219" s="18"/>
      <c r="AF219" s="18"/>
      <c r="AG219" s="18"/>
      <c r="AH219" s="18"/>
    </row>
    <row r="220" spans="1:34" x14ac:dyDescent="0.35">
      <c r="A220" s="21" t="s">
        <v>185</v>
      </c>
      <c r="B220" s="46">
        <v>0.32826928999999999</v>
      </c>
      <c r="C220" s="46">
        <v>5.7701229400000003</v>
      </c>
      <c r="D220" s="46">
        <v>0.18199976000000001</v>
      </c>
      <c r="E220" s="174"/>
      <c r="F220" s="46" t="s">
        <v>42</v>
      </c>
      <c r="G220" s="46">
        <v>0</v>
      </c>
      <c r="H220" s="46">
        <v>1.29274E-2</v>
      </c>
      <c r="I220" s="46">
        <v>0</v>
      </c>
      <c r="J220" s="46"/>
      <c r="K220" s="46" t="s">
        <v>53</v>
      </c>
      <c r="L220" s="46">
        <v>0</v>
      </c>
      <c r="M220" s="46">
        <v>0</v>
      </c>
      <c r="N220" s="46">
        <v>0</v>
      </c>
      <c r="V220" s="18"/>
      <c r="W220" s="18"/>
      <c r="X220" s="18"/>
      <c r="Y220" s="18"/>
      <c r="AA220" s="18"/>
      <c r="AB220" s="18"/>
      <c r="AC220" s="18"/>
      <c r="AF220" s="18"/>
      <c r="AG220" s="18"/>
      <c r="AH220" s="18"/>
    </row>
    <row r="221" spans="1:34" x14ac:dyDescent="0.35">
      <c r="A221" s="21" t="s">
        <v>41</v>
      </c>
      <c r="B221" s="46">
        <v>2.2092779999999999E-2</v>
      </c>
      <c r="C221" s="46">
        <v>1.275801E-2</v>
      </c>
      <c r="D221" s="46">
        <v>0.16843653</v>
      </c>
      <c r="E221" s="174"/>
      <c r="F221" s="46" t="s">
        <v>44</v>
      </c>
      <c r="G221" s="46">
        <v>0</v>
      </c>
      <c r="H221" s="46">
        <v>0</v>
      </c>
      <c r="I221" s="46">
        <v>0</v>
      </c>
      <c r="J221" s="46"/>
      <c r="K221" s="46" t="s">
        <v>54</v>
      </c>
      <c r="L221" s="46">
        <v>0</v>
      </c>
      <c r="M221" s="46">
        <v>0</v>
      </c>
      <c r="N221" s="46">
        <v>0</v>
      </c>
      <c r="V221" s="18"/>
      <c r="W221" s="18"/>
      <c r="X221" s="18"/>
      <c r="Y221" s="18"/>
      <c r="AA221" s="18"/>
      <c r="AB221" s="18"/>
      <c r="AC221" s="18"/>
      <c r="AF221" s="18"/>
      <c r="AG221" s="18"/>
      <c r="AH221" s="18"/>
    </row>
    <row r="222" spans="1:34" x14ac:dyDescent="0.35">
      <c r="A222" s="21" t="s">
        <v>154</v>
      </c>
      <c r="B222" s="46">
        <v>0.46613858000000002</v>
      </c>
      <c r="C222" s="46">
        <v>0.21612804000000002</v>
      </c>
      <c r="D222" s="46">
        <v>0.16265574999999999</v>
      </c>
      <c r="E222" s="174"/>
      <c r="F222" s="46" t="s">
        <v>47</v>
      </c>
      <c r="G222" s="46">
        <v>0</v>
      </c>
      <c r="H222" s="46">
        <v>9.5641000000000007E-3</v>
      </c>
      <c r="I222" s="46">
        <v>0</v>
      </c>
      <c r="J222" s="46"/>
      <c r="K222" s="46" t="s">
        <v>55</v>
      </c>
      <c r="L222" s="46">
        <v>0</v>
      </c>
      <c r="M222" s="46">
        <v>1.8510499999999999E-3</v>
      </c>
      <c r="N222" s="46">
        <v>0</v>
      </c>
      <c r="V222" s="18"/>
      <c r="W222" s="18"/>
      <c r="X222" s="18"/>
      <c r="Y222" s="18"/>
      <c r="AA222" s="18"/>
      <c r="AB222" s="18"/>
      <c r="AC222" s="18"/>
      <c r="AF222" s="18"/>
      <c r="AG222" s="18"/>
      <c r="AH222" s="18"/>
    </row>
    <row r="223" spans="1:34" x14ac:dyDescent="0.35">
      <c r="A223" s="21" t="s">
        <v>37</v>
      </c>
      <c r="B223" s="46">
        <v>0.24557593</v>
      </c>
      <c r="C223" s="46">
        <v>0.24407946</v>
      </c>
      <c r="D223" s="46">
        <v>0.14054447</v>
      </c>
      <c r="E223" s="174"/>
      <c r="F223" s="46" t="s">
        <v>49</v>
      </c>
      <c r="G223" s="46">
        <v>0</v>
      </c>
      <c r="H223" s="46">
        <v>0</v>
      </c>
      <c r="I223" s="46">
        <v>0</v>
      </c>
      <c r="J223" s="46"/>
      <c r="K223" s="46" t="s">
        <v>56</v>
      </c>
      <c r="L223" s="46">
        <v>4.9780000000000007E-4</v>
      </c>
      <c r="M223" s="46">
        <v>2.1059999999999998E-3</v>
      </c>
      <c r="N223" s="46">
        <v>0</v>
      </c>
      <c r="V223" s="18"/>
      <c r="W223" s="18"/>
      <c r="X223" s="18"/>
      <c r="Y223" s="18"/>
      <c r="AA223" s="18"/>
      <c r="AB223" s="18"/>
      <c r="AC223" s="18"/>
      <c r="AF223" s="18"/>
      <c r="AG223" s="18"/>
      <c r="AH223" s="18"/>
    </row>
    <row r="224" spans="1:34" x14ac:dyDescent="0.35">
      <c r="A224" s="21" t="s">
        <v>9</v>
      </c>
      <c r="B224" s="46">
        <v>0.47449398999999998</v>
      </c>
      <c r="C224" s="46">
        <v>0.39064059000000001</v>
      </c>
      <c r="D224" s="46">
        <v>0.10776753</v>
      </c>
      <c r="E224" s="174"/>
      <c r="F224" s="46" t="s">
        <v>51</v>
      </c>
      <c r="G224" s="46">
        <v>1577.77125897</v>
      </c>
      <c r="H224" s="46">
        <v>0</v>
      </c>
      <c r="I224" s="46">
        <v>0</v>
      </c>
      <c r="J224" s="46"/>
      <c r="K224" s="46" t="s">
        <v>57</v>
      </c>
      <c r="L224" s="46">
        <v>9.6480200000000002E-2</v>
      </c>
      <c r="M224" s="46">
        <v>0.76776079000000008</v>
      </c>
      <c r="N224" s="46">
        <v>0</v>
      </c>
      <c r="V224" s="18"/>
      <c r="W224" s="18"/>
      <c r="X224" s="18"/>
      <c r="Y224" s="18"/>
      <c r="AA224" s="18"/>
      <c r="AB224" s="18"/>
      <c r="AC224" s="18"/>
      <c r="AF224" s="18"/>
      <c r="AG224" s="18"/>
      <c r="AH224" s="18"/>
    </row>
    <row r="225" spans="1:34" x14ac:dyDescent="0.35">
      <c r="A225" s="21" t="s">
        <v>78</v>
      </c>
      <c r="B225" s="46">
        <v>0.24264813000000002</v>
      </c>
      <c r="C225" s="46">
        <v>0.28311382000000002</v>
      </c>
      <c r="D225" s="46">
        <v>0.10046434</v>
      </c>
      <c r="E225" s="174"/>
      <c r="F225" s="46" t="s">
        <v>52</v>
      </c>
      <c r="G225" s="46">
        <v>0</v>
      </c>
      <c r="H225" s="46">
        <v>0</v>
      </c>
      <c r="I225" s="46">
        <v>0</v>
      </c>
      <c r="J225" s="46"/>
      <c r="K225" s="46" t="s">
        <v>60</v>
      </c>
      <c r="L225" s="46">
        <v>0</v>
      </c>
      <c r="M225" s="46">
        <v>0</v>
      </c>
      <c r="N225" s="46">
        <v>0</v>
      </c>
      <c r="V225" s="18"/>
      <c r="W225" s="18"/>
      <c r="X225" s="18"/>
      <c r="Y225" s="18"/>
      <c r="AA225" s="18"/>
      <c r="AB225" s="18"/>
      <c r="AC225" s="18"/>
      <c r="AF225" s="18"/>
      <c r="AG225" s="18"/>
      <c r="AH225" s="18"/>
    </row>
    <row r="226" spans="1:34" x14ac:dyDescent="0.35">
      <c r="A226" s="21" t="s">
        <v>371</v>
      </c>
      <c r="B226" s="46">
        <v>0</v>
      </c>
      <c r="C226" s="46">
        <v>9.8218E-2</v>
      </c>
      <c r="D226" s="46">
        <v>8.2422750000000003E-2</v>
      </c>
      <c r="E226" s="174"/>
      <c r="F226" s="46" t="s">
        <v>352</v>
      </c>
      <c r="G226" s="46">
        <v>0</v>
      </c>
      <c r="H226" s="46">
        <v>0</v>
      </c>
      <c r="I226" s="46">
        <v>0</v>
      </c>
      <c r="J226" s="46"/>
      <c r="K226" s="46" t="s">
        <v>669</v>
      </c>
      <c r="L226" s="46">
        <v>0</v>
      </c>
      <c r="M226" s="46">
        <v>0</v>
      </c>
      <c r="N226" s="46">
        <v>0</v>
      </c>
      <c r="V226" s="18"/>
      <c r="W226" s="18"/>
      <c r="X226" s="18"/>
      <c r="Y226" s="18"/>
      <c r="AA226" s="18"/>
      <c r="AB226" s="18"/>
      <c r="AC226" s="18"/>
      <c r="AF226" s="18"/>
      <c r="AG226" s="18"/>
      <c r="AH226" s="18"/>
    </row>
    <row r="227" spans="1:34" x14ac:dyDescent="0.35">
      <c r="A227" s="21" t="s">
        <v>56</v>
      </c>
      <c r="B227" s="46">
        <v>0</v>
      </c>
      <c r="C227" s="46">
        <v>0.12663000999999999</v>
      </c>
      <c r="D227" s="46">
        <v>7.3871240000000005E-2</v>
      </c>
      <c r="E227" s="174"/>
      <c r="F227" s="46" t="s">
        <v>53</v>
      </c>
      <c r="G227" s="46">
        <v>0</v>
      </c>
      <c r="H227" s="46">
        <v>0</v>
      </c>
      <c r="I227" s="46">
        <v>0</v>
      </c>
      <c r="J227" s="46"/>
      <c r="K227" s="46" t="s">
        <v>61</v>
      </c>
      <c r="L227" s="46">
        <v>0</v>
      </c>
      <c r="M227" s="46">
        <v>0</v>
      </c>
      <c r="N227" s="46">
        <v>0</v>
      </c>
      <c r="V227" s="18"/>
      <c r="W227" s="18"/>
      <c r="X227" s="18"/>
      <c r="Y227" s="18"/>
      <c r="AA227" s="18"/>
      <c r="AB227" s="18"/>
      <c r="AC227" s="18"/>
      <c r="AF227" s="18"/>
      <c r="AG227" s="18"/>
      <c r="AH227" s="18"/>
    </row>
    <row r="228" spans="1:34" x14ac:dyDescent="0.35">
      <c r="A228" s="21" t="s">
        <v>61</v>
      </c>
      <c r="B228" s="46">
        <v>0</v>
      </c>
      <c r="C228" s="46">
        <v>7.3139999999999994E-5</v>
      </c>
      <c r="D228" s="46">
        <v>6.1950039999999998E-2</v>
      </c>
      <c r="E228" s="174"/>
      <c r="F228" s="46" t="s">
        <v>54</v>
      </c>
      <c r="G228" s="46">
        <v>62.756684679999999</v>
      </c>
      <c r="H228" s="46">
        <v>0</v>
      </c>
      <c r="I228" s="46">
        <v>0</v>
      </c>
      <c r="J228" s="46"/>
      <c r="K228" s="46" t="s">
        <v>63</v>
      </c>
      <c r="L228" s="46">
        <v>0</v>
      </c>
      <c r="M228" s="46">
        <v>0</v>
      </c>
      <c r="N228" s="46">
        <v>0</v>
      </c>
      <c r="V228" s="18"/>
      <c r="W228" s="18"/>
      <c r="X228" s="18"/>
      <c r="Y228" s="18"/>
      <c r="AA228" s="18"/>
      <c r="AB228" s="18"/>
      <c r="AC228" s="18"/>
      <c r="AF228" s="18"/>
      <c r="AG228" s="18"/>
      <c r="AH228" s="18"/>
    </row>
    <row r="229" spans="1:34" x14ac:dyDescent="0.35">
      <c r="A229" s="21" t="s">
        <v>130</v>
      </c>
      <c r="B229" s="46">
        <v>0.16303493999999999</v>
      </c>
      <c r="C229" s="46">
        <v>0.88868867000000007</v>
      </c>
      <c r="D229" s="46">
        <v>5.0175070000000002E-2</v>
      </c>
      <c r="E229" s="174"/>
      <c r="F229" s="46" t="s">
        <v>56</v>
      </c>
      <c r="G229" s="46">
        <v>169.61239261</v>
      </c>
      <c r="H229" s="46">
        <v>0</v>
      </c>
      <c r="I229" s="46">
        <v>0</v>
      </c>
      <c r="J229" s="46"/>
      <c r="K229" s="46" t="s">
        <v>375</v>
      </c>
      <c r="L229" s="46">
        <v>0</v>
      </c>
      <c r="M229" s="46">
        <v>0</v>
      </c>
      <c r="N229" s="46">
        <v>0</v>
      </c>
      <c r="V229" s="18"/>
      <c r="W229" s="18"/>
      <c r="X229" s="18"/>
      <c r="Y229" s="18"/>
      <c r="AA229" s="18"/>
      <c r="AB229" s="18"/>
      <c r="AC229" s="18"/>
      <c r="AF229" s="18"/>
      <c r="AG229" s="18"/>
      <c r="AH229" s="18"/>
    </row>
    <row r="230" spans="1:34" x14ac:dyDescent="0.35">
      <c r="A230" s="21" t="s">
        <v>376</v>
      </c>
      <c r="B230" s="46">
        <v>7.8317100000000004E-3</v>
      </c>
      <c r="C230" s="46">
        <v>4.6912059999999998E-2</v>
      </c>
      <c r="D230" s="46">
        <v>4.9038699999999998E-2</v>
      </c>
      <c r="E230" s="174"/>
      <c r="F230" s="46" t="s">
        <v>57</v>
      </c>
      <c r="G230" s="46">
        <v>9.2414400000000001E-3</v>
      </c>
      <c r="H230" s="46">
        <v>0</v>
      </c>
      <c r="I230" s="46">
        <v>0</v>
      </c>
      <c r="J230" s="46"/>
      <c r="K230" s="46" t="s">
        <v>369</v>
      </c>
      <c r="L230" s="46">
        <v>0</v>
      </c>
      <c r="M230" s="46">
        <v>0</v>
      </c>
      <c r="N230" s="46">
        <v>0</v>
      </c>
      <c r="V230" s="18"/>
      <c r="W230" s="18"/>
      <c r="X230" s="18"/>
      <c r="Y230" s="18"/>
      <c r="AA230" s="18"/>
      <c r="AB230" s="18"/>
      <c r="AC230" s="18"/>
      <c r="AF230" s="18"/>
      <c r="AG230" s="18"/>
      <c r="AH230" s="18"/>
    </row>
    <row r="231" spans="1:34" x14ac:dyDescent="0.35">
      <c r="A231" s="21" t="s">
        <v>46</v>
      </c>
      <c r="B231" s="46">
        <v>5.340483E-2</v>
      </c>
      <c r="C231" s="46">
        <v>0.11843361999999999</v>
      </c>
      <c r="D231" s="46">
        <v>4.8611740000000001E-2</v>
      </c>
      <c r="E231" s="174"/>
      <c r="F231" s="46" t="s">
        <v>59</v>
      </c>
      <c r="G231" s="46">
        <v>7.5310000000000004E-3</v>
      </c>
      <c r="H231" s="46">
        <v>0</v>
      </c>
      <c r="I231" s="46">
        <v>0</v>
      </c>
      <c r="J231" s="46"/>
      <c r="K231" s="46" t="s">
        <v>64</v>
      </c>
      <c r="L231" s="46">
        <v>0</v>
      </c>
      <c r="M231" s="46">
        <v>0</v>
      </c>
      <c r="N231" s="46">
        <v>0</v>
      </c>
      <c r="V231" s="18"/>
      <c r="W231" s="18"/>
      <c r="X231" s="18"/>
      <c r="Y231" s="18"/>
      <c r="AA231" s="18"/>
      <c r="AB231" s="18"/>
      <c r="AC231" s="18"/>
      <c r="AF231" s="18"/>
      <c r="AG231" s="18"/>
      <c r="AH231" s="18"/>
    </row>
    <row r="232" spans="1:34" x14ac:dyDescent="0.35">
      <c r="A232" s="21" t="s">
        <v>3</v>
      </c>
      <c r="B232" s="46">
        <v>0.42379259000000002</v>
      </c>
      <c r="C232" s="46">
        <v>0.52728686000000002</v>
      </c>
      <c r="D232" s="46">
        <v>3.7801500000000002E-2</v>
      </c>
      <c r="E232" s="174"/>
      <c r="F232" s="46" t="s">
        <v>60</v>
      </c>
      <c r="G232" s="46">
        <v>0.10423238</v>
      </c>
      <c r="H232" s="46">
        <v>0.10553707000000001</v>
      </c>
      <c r="I232" s="46">
        <v>0</v>
      </c>
      <c r="J232" s="46"/>
      <c r="K232" s="46" t="s">
        <v>363</v>
      </c>
      <c r="L232" s="46">
        <v>0</v>
      </c>
      <c r="M232" s="46">
        <v>0</v>
      </c>
      <c r="N232" s="46">
        <v>0</v>
      </c>
      <c r="V232" s="18"/>
      <c r="W232" s="18"/>
      <c r="X232" s="18"/>
      <c r="Y232" s="18"/>
      <c r="AA232" s="18"/>
      <c r="AB232" s="18"/>
      <c r="AC232" s="18"/>
      <c r="AF232" s="18"/>
      <c r="AG232" s="18"/>
      <c r="AH232" s="18"/>
    </row>
    <row r="233" spans="1:34" ht="12.65" customHeight="1" x14ac:dyDescent="0.35">
      <c r="A233" s="21" t="s">
        <v>141</v>
      </c>
      <c r="B233" s="46">
        <v>1.3675E-2</v>
      </c>
      <c r="C233" s="46">
        <v>4.5223160000000005E-2</v>
      </c>
      <c r="D233" s="46">
        <v>2.4432099999999998E-2</v>
      </c>
      <c r="E233" s="174"/>
      <c r="F233" s="46" t="s">
        <v>669</v>
      </c>
      <c r="G233" s="46">
        <v>0</v>
      </c>
      <c r="H233" s="46">
        <v>0</v>
      </c>
      <c r="I233" s="46">
        <v>0</v>
      </c>
      <c r="J233" s="46"/>
      <c r="K233" s="46" t="s">
        <v>670</v>
      </c>
      <c r="L233" s="46">
        <v>0</v>
      </c>
      <c r="M233" s="46">
        <v>0</v>
      </c>
      <c r="N233" s="46">
        <v>0</v>
      </c>
      <c r="V233" s="18"/>
      <c r="W233" s="18"/>
      <c r="X233" s="18"/>
      <c r="Y233" s="18"/>
      <c r="AA233" s="18"/>
      <c r="AB233" s="18"/>
      <c r="AC233" s="18"/>
      <c r="AF233" s="18"/>
      <c r="AG233" s="18"/>
      <c r="AH233" s="18"/>
    </row>
    <row r="234" spans="1:34" x14ac:dyDescent="0.35">
      <c r="A234" s="21" t="s">
        <v>121</v>
      </c>
      <c r="B234" s="46">
        <v>3.3916000000000003E-4</v>
      </c>
      <c r="C234" s="46">
        <v>66.487798409999996</v>
      </c>
      <c r="D234" s="46">
        <v>2.1230200000000001E-2</v>
      </c>
      <c r="E234" s="174"/>
      <c r="F234" s="46" t="s">
        <v>61</v>
      </c>
      <c r="G234" s="46">
        <v>0</v>
      </c>
      <c r="H234" s="46">
        <v>0</v>
      </c>
      <c r="I234" s="46">
        <v>0</v>
      </c>
      <c r="J234" s="46"/>
      <c r="K234" s="46" t="s">
        <v>65</v>
      </c>
      <c r="L234" s="46">
        <v>0</v>
      </c>
      <c r="M234" s="46">
        <v>1.0643000000000001E-4</v>
      </c>
      <c r="N234" s="46">
        <v>0</v>
      </c>
      <c r="V234" s="18"/>
      <c r="W234" s="18"/>
      <c r="X234" s="18"/>
      <c r="Y234" s="18"/>
      <c r="AA234" s="18"/>
      <c r="AB234" s="18"/>
      <c r="AC234" s="18"/>
      <c r="AF234" s="18"/>
      <c r="AG234" s="18"/>
      <c r="AH234" s="18"/>
    </row>
    <row r="235" spans="1:34" x14ac:dyDescent="0.35">
      <c r="A235" s="21" t="s">
        <v>363</v>
      </c>
      <c r="B235" s="46">
        <v>5.3615999999999994E-4</v>
      </c>
      <c r="C235" s="46">
        <v>1.14378E-2</v>
      </c>
      <c r="D235" s="46">
        <v>1.99848E-2</v>
      </c>
      <c r="E235" s="174"/>
      <c r="F235" s="46" t="s">
        <v>375</v>
      </c>
      <c r="G235" s="46">
        <v>5.6860000000000005E-4</v>
      </c>
      <c r="H235" s="46">
        <v>15.0801021</v>
      </c>
      <c r="I235" s="46">
        <v>0</v>
      </c>
      <c r="J235" s="46"/>
      <c r="K235" s="46" t="s">
        <v>67</v>
      </c>
      <c r="L235" s="46">
        <v>1.68151E-3</v>
      </c>
      <c r="M235" s="46">
        <v>3.0286000000000001E-4</v>
      </c>
      <c r="N235" s="46">
        <v>0</v>
      </c>
      <c r="V235" s="18"/>
      <c r="W235" s="18"/>
      <c r="X235" s="18"/>
      <c r="Y235" s="18"/>
      <c r="AA235" s="18"/>
      <c r="AB235" s="18"/>
      <c r="AC235" s="18"/>
      <c r="AF235" s="18"/>
      <c r="AG235" s="18"/>
      <c r="AH235" s="18"/>
    </row>
    <row r="236" spans="1:34" x14ac:dyDescent="0.35">
      <c r="A236" s="21" t="s">
        <v>47</v>
      </c>
      <c r="B236" s="46">
        <v>6.1529999999999996E-3</v>
      </c>
      <c r="C236" s="46">
        <v>4.091997E-2</v>
      </c>
      <c r="D236" s="46">
        <v>1.9944090000000001E-2</v>
      </c>
      <c r="E236" s="174"/>
      <c r="F236" s="46" t="s">
        <v>369</v>
      </c>
      <c r="G236" s="46">
        <v>0</v>
      </c>
      <c r="H236" s="46">
        <v>7.3097889999999999E-2</v>
      </c>
      <c r="I236" s="46">
        <v>0</v>
      </c>
      <c r="J236" s="46"/>
      <c r="K236" s="46" t="s">
        <v>68</v>
      </c>
      <c r="L236" s="46">
        <v>2.1436199999999997E-3</v>
      </c>
      <c r="M236" s="46">
        <v>0</v>
      </c>
      <c r="N236" s="46">
        <v>0</v>
      </c>
      <c r="V236" s="18"/>
      <c r="W236" s="18"/>
      <c r="X236" s="18"/>
      <c r="Y236" s="18"/>
      <c r="AA236" s="18"/>
      <c r="AB236" s="18"/>
      <c r="AC236" s="18"/>
      <c r="AF236" s="18"/>
      <c r="AG236" s="18"/>
      <c r="AH236" s="18"/>
    </row>
    <row r="237" spans="1:34" s="91" customFormat="1" ht="13" x14ac:dyDescent="0.3">
      <c r="A237" s="21" t="s">
        <v>77</v>
      </c>
      <c r="B237" s="46">
        <v>2.3683674900000002</v>
      </c>
      <c r="C237" s="46">
        <v>4.2960000000000003E-3</v>
      </c>
      <c r="D237" s="46">
        <v>1.8832000000000002E-2</v>
      </c>
      <c r="E237" s="174"/>
      <c r="F237" s="46" t="s">
        <v>64</v>
      </c>
      <c r="G237" s="46">
        <v>0</v>
      </c>
      <c r="H237" s="46">
        <v>0</v>
      </c>
      <c r="I237" s="46">
        <v>0</v>
      </c>
      <c r="J237" s="46"/>
      <c r="K237" s="46" t="s">
        <v>72</v>
      </c>
      <c r="L237" s="46">
        <v>2.3915830000000003E-2</v>
      </c>
      <c r="M237" s="46">
        <v>1.8793770000000001E-2</v>
      </c>
      <c r="N237" s="46">
        <v>0</v>
      </c>
      <c r="S237" s="20"/>
      <c r="U237" s="20"/>
      <c r="V237" s="18"/>
      <c r="W237" s="18"/>
      <c r="X237" s="18"/>
      <c r="Y237" s="18"/>
      <c r="Z237" s="20"/>
      <c r="AA237" s="18"/>
      <c r="AB237" s="18"/>
      <c r="AC237" s="18"/>
      <c r="AE237" s="20"/>
      <c r="AF237" s="18"/>
      <c r="AG237" s="18"/>
      <c r="AH237" s="18"/>
    </row>
    <row r="238" spans="1:34" x14ac:dyDescent="0.35">
      <c r="A238" s="21" t="s">
        <v>216</v>
      </c>
      <c r="B238" s="46">
        <v>0</v>
      </c>
      <c r="C238" s="46">
        <v>0</v>
      </c>
      <c r="D238" s="46">
        <v>1.7807169999999997E-2</v>
      </c>
      <c r="E238" s="174"/>
      <c r="F238" s="46" t="s">
        <v>363</v>
      </c>
      <c r="G238" s="46">
        <v>0</v>
      </c>
      <c r="H238" s="46">
        <v>0</v>
      </c>
      <c r="I238" s="46">
        <v>0</v>
      </c>
      <c r="J238" s="46"/>
      <c r="K238" s="46" t="s">
        <v>85</v>
      </c>
      <c r="L238" s="46">
        <v>0</v>
      </c>
      <c r="M238" s="46">
        <v>1.9444999999999998E-4</v>
      </c>
      <c r="N238" s="46">
        <v>0</v>
      </c>
      <c r="V238" s="18"/>
      <c r="W238" s="18"/>
      <c r="X238" s="18"/>
      <c r="Y238" s="18"/>
      <c r="AA238" s="18"/>
      <c r="AB238" s="18"/>
      <c r="AC238" s="18"/>
      <c r="AF238" s="18"/>
      <c r="AG238" s="18"/>
      <c r="AH238" s="18"/>
    </row>
    <row r="239" spans="1:34" x14ac:dyDescent="0.35">
      <c r="A239" s="21" t="s">
        <v>364</v>
      </c>
      <c r="B239" s="46">
        <v>0.22221872000000001</v>
      </c>
      <c r="C239" s="46">
        <v>0.23488624999999999</v>
      </c>
      <c r="D239" s="46">
        <v>9.4182399999999996E-3</v>
      </c>
      <c r="E239" s="174"/>
      <c r="F239" s="46" t="s">
        <v>670</v>
      </c>
      <c r="G239" s="46">
        <v>0</v>
      </c>
      <c r="H239" s="46">
        <v>0</v>
      </c>
      <c r="I239" s="46">
        <v>0</v>
      </c>
      <c r="J239" s="46"/>
      <c r="K239" s="46" t="s">
        <v>348</v>
      </c>
      <c r="L239" s="46">
        <v>2.0462699999999998E-3</v>
      </c>
      <c r="M239" s="46">
        <v>6.8519000000000002E-4</v>
      </c>
      <c r="N239" s="46">
        <v>0</v>
      </c>
      <c r="V239" s="18"/>
      <c r="W239" s="18"/>
      <c r="X239" s="18"/>
      <c r="Y239" s="18"/>
      <c r="AA239" s="18"/>
      <c r="AB239" s="18"/>
      <c r="AC239" s="18"/>
      <c r="AF239" s="18"/>
      <c r="AG239" s="18"/>
      <c r="AH239" s="18"/>
    </row>
    <row r="240" spans="1:34" x14ac:dyDescent="0.35">
      <c r="A240" s="21" t="s">
        <v>399</v>
      </c>
      <c r="B240" s="46">
        <v>2.25325E-3</v>
      </c>
      <c r="C240" s="46">
        <v>0</v>
      </c>
      <c r="D240" s="46">
        <v>8.28746E-3</v>
      </c>
      <c r="E240" s="174"/>
      <c r="F240" s="46" t="s">
        <v>65</v>
      </c>
      <c r="G240" s="46">
        <v>0.62222414000000004</v>
      </c>
      <c r="H240" s="46">
        <v>1.2069E-4</v>
      </c>
      <c r="I240" s="46">
        <v>0</v>
      </c>
      <c r="J240" s="46"/>
      <c r="K240" s="46" t="s">
        <v>87</v>
      </c>
      <c r="L240" s="46">
        <v>0.16405351999999998</v>
      </c>
      <c r="M240" s="46">
        <v>1.7173599999999997E-2</v>
      </c>
      <c r="N240" s="46">
        <v>0</v>
      </c>
      <c r="V240" s="18"/>
      <c r="W240" s="18"/>
      <c r="X240" s="18"/>
      <c r="Y240" s="18"/>
      <c r="AA240" s="18"/>
      <c r="AB240" s="18"/>
      <c r="AC240" s="18"/>
      <c r="AF240" s="18"/>
      <c r="AG240" s="18"/>
      <c r="AH240" s="18"/>
    </row>
    <row r="241" spans="1:34" x14ac:dyDescent="0.35">
      <c r="A241" s="21" t="s">
        <v>374</v>
      </c>
      <c r="B241" s="46">
        <v>0</v>
      </c>
      <c r="C241" s="46">
        <v>0</v>
      </c>
      <c r="D241" s="46">
        <v>4.1999999999999997E-3</v>
      </c>
      <c r="E241" s="174"/>
      <c r="F241" s="46" t="s">
        <v>69</v>
      </c>
      <c r="G241" s="46">
        <v>0.29088649999999999</v>
      </c>
      <c r="H241" s="46">
        <v>3.0572000000000005E-4</v>
      </c>
      <c r="I241" s="46">
        <v>0</v>
      </c>
      <c r="J241" s="46"/>
      <c r="K241" s="46" t="s">
        <v>364</v>
      </c>
      <c r="L241" s="46">
        <v>0</v>
      </c>
      <c r="M241" s="46">
        <v>4.7166600000000001E-3</v>
      </c>
      <c r="N241" s="46">
        <v>0</v>
      </c>
      <c r="V241" s="18"/>
      <c r="W241" s="18"/>
      <c r="X241" s="18"/>
      <c r="Y241" s="18"/>
      <c r="AA241" s="18"/>
      <c r="AB241" s="18"/>
      <c r="AC241" s="18"/>
      <c r="AF241" s="18"/>
      <c r="AG241" s="18"/>
      <c r="AH241" s="18"/>
    </row>
    <row r="242" spans="1:34" x14ac:dyDescent="0.35">
      <c r="A242" s="21" t="s">
        <v>34</v>
      </c>
      <c r="B242" s="46">
        <v>2.541E-4</v>
      </c>
      <c r="C242" s="46">
        <v>0.11825795</v>
      </c>
      <c r="D242" s="46">
        <v>3.6739299999999997E-3</v>
      </c>
      <c r="E242" s="174"/>
      <c r="F242" s="46" t="s">
        <v>70</v>
      </c>
      <c r="G242" s="46">
        <v>0.47933609999999999</v>
      </c>
      <c r="H242" s="46">
        <v>0.39227403000000005</v>
      </c>
      <c r="I242" s="46">
        <v>0</v>
      </c>
      <c r="J242" s="46"/>
      <c r="K242" s="46" t="s">
        <v>376</v>
      </c>
      <c r="L242" s="46">
        <v>2.7445E-3</v>
      </c>
      <c r="M242" s="46">
        <v>7.2247000000000001E-4</v>
      </c>
      <c r="N242" s="46">
        <v>0</v>
      </c>
      <c r="V242" s="18"/>
      <c r="W242" s="18"/>
      <c r="X242" s="18"/>
      <c r="Y242" s="18"/>
      <c r="AA242" s="18"/>
      <c r="AB242" s="18"/>
      <c r="AC242" s="18"/>
      <c r="AF242" s="18"/>
      <c r="AG242" s="18"/>
      <c r="AH242" s="18"/>
    </row>
    <row r="243" spans="1:34" x14ac:dyDescent="0.35">
      <c r="A243" s="21" t="s">
        <v>139</v>
      </c>
      <c r="B243" s="46">
        <v>0.33994131999999999</v>
      </c>
      <c r="C243" s="46">
        <v>6.2141269999999998E-2</v>
      </c>
      <c r="D243" s="46">
        <v>1.7345899999999998E-3</v>
      </c>
      <c r="E243" s="174"/>
      <c r="F243" s="46" t="s">
        <v>77</v>
      </c>
      <c r="G243" s="46">
        <v>0</v>
      </c>
      <c r="H243" s="46">
        <v>0</v>
      </c>
      <c r="I243" s="46">
        <v>0</v>
      </c>
      <c r="J243" s="46"/>
      <c r="K243" s="46" t="s">
        <v>103</v>
      </c>
      <c r="L243" s="46">
        <v>0</v>
      </c>
      <c r="M243" s="46">
        <v>5.82154E-3</v>
      </c>
      <c r="N243" s="46">
        <v>0</v>
      </c>
      <c r="V243" s="18"/>
      <c r="W243" s="18"/>
      <c r="X243" s="18"/>
      <c r="Y243" s="18"/>
      <c r="AA243" s="18"/>
      <c r="AB243" s="18"/>
      <c r="AC243" s="18"/>
      <c r="AF243" s="18"/>
      <c r="AG243" s="18"/>
      <c r="AH243" s="18"/>
    </row>
    <row r="244" spans="1:34" x14ac:dyDescent="0.35">
      <c r="A244" s="21" t="s">
        <v>367</v>
      </c>
      <c r="B244" s="46">
        <v>9.1079839999999995E-2</v>
      </c>
      <c r="C244" s="46">
        <v>9.3436999999999999E-3</v>
      </c>
      <c r="D244" s="46">
        <v>1.6801199999999998E-3</v>
      </c>
      <c r="E244" s="174"/>
      <c r="F244" s="46" t="s">
        <v>378</v>
      </c>
      <c r="G244" s="46">
        <v>0</v>
      </c>
      <c r="H244" s="46">
        <v>1.8343140000000001E-2</v>
      </c>
      <c r="I244" s="46">
        <v>0</v>
      </c>
      <c r="J244" s="46"/>
      <c r="K244" s="46" t="s">
        <v>353</v>
      </c>
      <c r="L244" s="46">
        <v>0</v>
      </c>
      <c r="M244" s="46">
        <v>0</v>
      </c>
      <c r="N244" s="46">
        <v>0</v>
      </c>
      <c r="V244" s="18"/>
      <c r="W244" s="18"/>
      <c r="X244" s="18"/>
      <c r="Y244" s="18"/>
      <c r="AA244" s="18"/>
      <c r="AB244" s="18"/>
      <c r="AC244" s="18"/>
      <c r="AF244" s="18"/>
      <c r="AG244" s="18"/>
      <c r="AH244" s="18"/>
    </row>
    <row r="245" spans="1:34" x14ac:dyDescent="0.35">
      <c r="A245" s="21" t="s">
        <v>42</v>
      </c>
      <c r="B245" s="46">
        <v>7.8641300000000004E-3</v>
      </c>
      <c r="C245" s="46">
        <v>7.4973910000000005E-2</v>
      </c>
      <c r="D245" s="46">
        <v>7.4508000000000007E-4</v>
      </c>
      <c r="E245" s="174"/>
      <c r="F245" s="46" t="s">
        <v>94</v>
      </c>
      <c r="G245" s="46">
        <v>0</v>
      </c>
      <c r="H245" s="46">
        <v>0</v>
      </c>
      <c r="I245" s="46">
        <v>0</v>
      </c>
      <c r="J245" s="46"/>
      <c r="K245" s="46" t="s">
        <v>124</v>
      </c>
      <c r="L245" s="46">
        <v>1.3236028700000002</v>
      </c>
      <c r="M245" s="46">
        <v>0</v>
      </c>
      <c r="N245" s="46">
        <v>0</v>
      </c>
      <c r="V245" s="18"/>
      <c r="W245" s="18"/>
      <c r="X245" s="18"/>
      <c r="Y245" s="18"/>
      <c r="AA245" s="18"/>
      <c r="AB245" s="18"/>
      <c r="AC245" s="18"/>
      <c r="AF245" s="18"/>
      <c r="AG245" s="18"/>
      <c r="AH245" s="18"/>
    </row>
    <row r="246" spans="1:34" x14ac:dyDescent="0.35">
      <c r="A246" s="21" t="s">
        <v>366</v>
      </c>
      <c r="B246" s="46">
        <v>7.7526800000000005E-3</v>
      </c>
      <c r="C246" s="46">
        <v>4.2902399999999999E-3</v>
      </c>
      <c r="D246" s="46">
        <v>3.8745000000000001E-4</v>
      </c>
      <c r="E246" s="174"/>
      <c r="F246" s="46" t="s">
        <v>364</v>
      </c>
      <c r="G246" s="46">
        <v>0</v>
      </c>
      <c r="H246" s="46">
        <v>0</v>
      </c>
      <c r="I246" s="46">
        <v>0</v>
      </c>
      <c r="J246" s="46"/>
      <c r="K246" s="46" t="s">
        <v>380</v>
      </c>
      <c r="L246" s="46">
        <v>0</v>
      </c>
      <c r="M246" s="46">
        <v>3.4877399999999996E-3</v>
      </c>
      <c r="N246" s="46">
        <v>0</v>
      </c>
      <c r="V246" s="18"/>
      <c r="W246" s="18"/>
      <c r="X246" s="18"/>
      <c r="Y246" s="18"/>
      <c r="AA246" s="18"/>
      <c r="AB246" s="18"/>
      <c r="AC246" s="18"/>
      <c r="AF246" s="18"/>
      <c r="AG246" s="18"/>
      <c r="AH246" s="18"/>
    </row>
    <row r="247" spans="1:34" x14ac:dyDescent="0.35">
      <c r="A247" s="21" t="s">
        <v>393</v>
      </c>
      <c r="B247" s="46">
        <v>1.2772440000000001E-2</v>
      </c>
      <c r="C247" s="46">
        <v>0</v>
      </c>
      <c r="D247" s="46">
        <v>3.6539999999999999E-4</v>
      </c>
      <c r="E247" s="174"/>
      <c r="F247" s="46" t="s">
        <v>97</v>
      </c>
      <c r="G247" s="46">
        <v>0</v>
      </c>
      <c r="H247" s="46">
        <v>0</v>
      </c>
      <c r="I247" s="46">
        <v>0</v>
      </c>
      <c r="J247" s="46"/>
      <c r="K247" s="46" t="s">
        <v>365</v>
      </c>
      <c r="L247" s="46">
        <v>0</v>
      </c>
      <c r="M247" s="46">
        <v>0</v>
      </c>
      <c r="N247" s="46">
        <v>0</v>
      </c>
      <c r="V247" s="18"/>
      <c r="W247" s="18"/>
      <c r="X247" s="18"/>
      <c r="Y247" s="18"/>
      <c r="AA247" s="18"/>
      <c r="AB247" s="18"/>
      <c r="AC247" s="18"/>
      <c r="AF247" s="18"/>
      <c r="AG247" s="18"/>
      <c r="AH247" s="18"/>
    </row>
    <row r="248" spans="1:34" x14ac:dyDescent="0.35">
      <c r="A248" s="21" t="s">
        <v>1</v>
      </c>
      <c r="B248" s="46">
        <v>0.16682631000000001</v>
      </c>
      <c r="C248" s="46">
        <v>0</v>
      </c>
      <c r="D248" s="46">
        <v>0</v>
      </c>
      <c r="E248" s="174"/>
      <c r="F248" s="46" t="s">
        <v>121</v>
      </c>
      <c r="G248" s="46">
        <v>0</v>
      </c>
      <c r="H248" s="46">
        <v>0</v>
      </c>
      <c r="I248" s="46">
        <v>0</v>
      </c>
      <c r="J248" s="46"/>
      <c r="K248" s="46" t="s">
        <v>393</v>
      </c>
      <c r="L248" s="46">
        <v>8.7449999999999993E-3</v>
      </c>
      <c r="M248" s="46">
        <v>0</v>
      </c>
      <c r="N248" s="46">
        <v>0</v>
      </c>
      <c r="V248" s="18"/>
      <c r="W248" s="18"/>
      <c r="X248" s="18"/>
      <c r="Y248" s="18"/>
      <c r="AA248" s="18"/>
      <c r="AB248" s="18"/>
      <c r="AC248" s="18"/>
      <c r="AF248" s="18"/>
      <c r="AG248" s="18"/>
      <c r="AH248" s="18"/>
    </row>
    <row r="249" spans="1:34" x14ac:dyDescent="0.35">
      <c r="A249" s="21" t="s">
        <v>7</v>
      </c>
      <c r="B249" s="46">
        <v>2.0001527100000001</v>
      </c>
      <c r="C249" s="46">
        <v>4.3139399999999996E-3</v>
      </c>
      <c r="D249" s="46">
        <v>0</v>
      </c>
      <c r="E249" s="174"/>
      <c r="F249" s="46" t="s">
        <v>122</v>
      </c>
      <c r="G249" s="46">
        <v>0</v>
      </c>
      <c r="H249" s="46">
        <v>0</v>
      </c>
      <c r="I249" s="46">
        <v>0</v>
      </c>
      <c r="J249" s="46"/>
      <c r="K249" s="46" t="s">
        <v>367</v>
      </c>
      <c r="L249" s="46">
        <v>9.4535499999999998E-3</v>
      </c>
      <c r="M249" s="46">
        <v>0</v>
      </c>
      <c r="N249" s="46">
        <v>0</v>
      </c>
      <c r="V249" s="18"/>
      <c r="W249" s="18"/>
      <c r="X249" s="18"/>
      <c r="Y249" s="18"/>
      <c r="AA249" s="18"/>
      <c r="AB249" s="18"/>
      <c r="AC249" s="18"/>
      <c r="AF249" s="18"/>
      <c r="AG249" s="18"/>
      <c r="AH249" s="18"/>
    </row>
    <row r="250" spans="1:34" x14ac:dyDescent="0.35">
      <c r="A250" s="21" t="s">
        <v>401</v>
      </c>
      <c r="B250" s="46">
        <v>7.4715000000000003E-4</v>
      </c>
      <c r="C250" s="46">
        <v>0</v>
      </c>
      <c r="D250" s="46">
        <v>0</v>
      </c>
      <c r="E250" s="174"/>
      <c r="F250" s="46" t="s">
        <v>393</v>
      </c>
      <c r="G250" s="46">
        <v>0</v>
      </c>
      <c r="H250" s="46">
        <v>0</v>
      </c>
      <c r="I250" s="46">
        <v>0</v>
      </c>
      <c r="J250" s="46"/>
      <c r="K250" s="46" t="s">
        <v>130</v>
      </c>
      <c r="L250" s="46">
        <v>0</v>
      </c>
      <c r="M250" s="46">
        <v>0</v>
      </c>
      <c r="N250" s="46">
        <v>0</v>
      </c>
      <c r="V250" s="18"/>
      <c r="W250" s="18"/>
      <c r="X250" s="18"/>
      <c r="Y250" s="18"/>
      <c r="AA250" s="18"/>
      <c r="AB250" s="18"/>
      <c r="AC250" s="18"/>
      <c r="AF250" s="18"/>
      <c r="AG250" s="18"/>
      <c r="AH250" s="18"/>
    </row>
    <row r="251" spans="1:34" x14ac:dyDescent="0.35">
      <c r="A251" s="21" t="s">
        <v>382</v>
      </c>
      <c r="B251" s="46">
        <v>0</v>
      </c>
      <c r="C251" s="46">
        <v>2.8316000000000002E-4</v>
      </c>
      <c r="D251" s="46">
        <v>0</v>
      </c>
      <c r="E251" s="174"/>
      <c r="F251" s="46" t="s">
        <v>128</v>
      </c>
      <c r="G251" s="46">
        <v>9.3961000000000001E-4</v>
      </c>
      <c r="H251" s="46">
        <v>0</v>
      </c>
      <c r="I251" s="46">
        <v>0</v>
      </c>
      <c r="J251" s="46"/>
      <c r="K251" s="46" t="s">
        <v>374</v>
      </c>
      <c r="L251" s="46">
        <v>2.305509E-2</v>
      </c>
      <c r="M251" s="46">
        <v>0</v>
      </c>
      <c r="N251" s="46">
        <v>0</v>
      </c>
      <c r="V251" s="18"/>
      <c r="W251" s="18"/>
      <c r="X251" s="18"/>
      <c r="Y251" s="18"/>
      <c r="AA251" s="18"/>
      <c r="AB251" s="18"/>
      <c r="AC251" s="18"/>
      <c r="AF251" s="18"/>
      <c r="AG251" s="18"/>
      <c r="AH251" s="18"/>
    </row>
    <row r="252" spans="1:34" x14ac:dyDescent="0.35">
      <c r="A252" s="21" t="s">
        <v>32</v>
      </c>
      <c r="B252" s="46">
        <v>0.69324493000000009</v>
      </c>
      <c r="C252" s="46">
        <v>0</v>
      </c>
      <c r="D252" s="46">
        <v>0</v>
      </c>
      <c r="E252" s="174"/>
      <c r="F252" s="46" t="s">
        <v>367</v>
      </c>
      <c r="G252" s="46">
        <v>0</v>
      </c>
      <c r="H252" s="46">
        <v>0</v>
      </c>
      <c r="I252" s="46">
        <v>0</v>
      </c>
      <c r="J252" s="46"/>
      <c r="K252" s="46" t="s">
        <v>139</v>
      </c>
      <c r="L252" s="46">
        <v>6.580656E-2</v>
      </c>
      <c r="M252" s="46">
        <v>0</v>
      </c>
      <c r="N252" s="46">
        <v>0</v>
      </c>
      <c r="V252" s="18"/>
      <c r="W252" s="18"/>
      <c r="X252" s="18"/>
      <c r="Y252" s="18"/>
      <c r="AA252" s="18"/>
      <c r="AB252" s="18"/>
      <c r="AC252" s="18"/>
      <c r="AF252" s="18"/>
      <c r="AG252" s="18"/>
      <c r="AH252" s="18"/>
    </row>
    <row r="253" spans="1:34" x14ac:dyDescent="0.35">
      <c r="A253" s="21" t="s">
        <v>40</v>
      </c>
      <c r="B253" s="46">
        <v>0</v>
      </c>
      <c r="C253" s="46">
        <v>3.2284099999999997E-3</v>
      </c>
      <c r="D253" s="46">
        <v>0</v>
      </c>
      <c r="E253" s="174"/>
      <c r="F253" s="46" t="s">
        <v>130</v>
      </c>
      <c r="G253" s="46">
        <v>0</v>
      </c>
      <c r="H253" s="46">
        <v>0.24770635000000002</v>
      </c>
      <c r="I253" s="46">
        <v>0</v>
      </c>
      <c r="J253" s="46"/>
      <c r="K253" s="46" t="s">
        <v>145</v>
      </c>
      <c r="L253" s="46">
        <v>0</v>
      </c>
      <c r="M253" s="46">
        <v>0</v>
      </c>
      <c r="N253" s="46">
        <v>0</v>
      </c>
      <c r="V253" s="18"/>
      <c r="W253" s="18"/>
      <c r="X253" s="18"/>
      <c r="Y253" s="18"/>
      <c r="AA253" s="18"/>
      <c r="AB253" s="18"/>
      <c r="AC253" s="18"/>
      <c r="AF253" s="18"/>
      <c r="AG253" s="18"/>
      <c r="AH253" s="18"/>
    </row>
    <row r="254" spans="1:34" x14ac:dyDescent="0.35">
      <c r="A254" s="21" t="s">
        <v>373</v>
      </c>
      <c r="B254" s="46">
        <v>9.9180000000000009E-5</v>
      </c>
      <c r="C254" s="46">
        <v>0</v>
      </c>
      <c r="D254" s="46">
        <v>0</v>
      </c>
      <c r="E254" s="174"/>
      <c r="F254" s="46" t="s">
        <v>374</v>
      </c>
      <c r="G254" s="46">
        <v>0</v>
      </c>
      <c r="H254" s="46">
        <v>0</v>
      </c>
      <c r="I254" s="46">
        <v>0</v>
      </c>
      <c r="J254" s="46"/>
      <c r="K254" s="46" t="s">
        <v>355</v>
      </c>
      <c r="L254" s="46">
        <v>0</v>
      </c>
      <c r="M254" s="46">
        <v>5.0600000000000005E-4</v>
      </c>
      <c r="N254" s="46">
        <v>0</v>
      </c>
      <c r="V254" s="18"/>
      <c r="W254" s="18"/>
      <c r="X254" s="18"/>
      <c r="Y254" s="18"/>
      <c r="AA254" s="18"/>
      <c r="AB254" s="18"/>
      <c r="AC254" s="18"/>
      <c r="AF254" s="18"/>
      <c r="AG254" s="18"/>
      <c r="AH254" s="18"/>
    </row>
    <row r="255" spans="1:34" x14ac:dyDescent="0.35">
      <c r="A255" s="21" t="s">
        <v>50</v>
      </c>
      <c r="B255" s="46">
        <v>0</v>
      </c>
      <c r="C255" s="46">
        <v>0</v>
      </c>
      <c r="D255" s="46">
        <v>0</v>
      </c>
      <c r="E255" s="174"/>
      <c r="F255" s="46" t="s">
        <v>368</v>
      </c>
      <c r="G255" s="46">
        <v>0</v>
      </c>
      <c r="H255" s="46">
        <v>0.78043024999999999</v>
      </c>
      <c r="I255" s="46">
        <v>0</v>
      </c>
      <c r="J255" s="46"/>
      <c r="K255" s="46" t="s">
        <v>179</v>
      </c>
      <c r="L255" s="46">
        <v>0</v>
      </c>
      <c r="M255" s="46">
        <v>0</v>
      </c>
      <c r="N255" s="46">
        <v>0</v>
      </c>
      <c r="V255" s="18"/>
      <c r="W255" s="18"/>
      <c r="X255" s="18"/>
      <c r="Y255" s="18"/>
      <c r="AA255" s="18"/>
      <c r="AB255" s="18"/>
      <c r="AC255" s="18"/>
      <c r="AF255" s="18"/>
      <c r="AG255" s="18"/>
      <c r="AH255" s="18"/>
    </row>
    <row r="256" spans="1:34" x14ac:dyDescent="0.35">
      <c r="A256" s="21" t="s">
        <v>51</v>
      </c>
      <c r="B256" s="46">
        <v>0</v>
      </c>
      <c r="C256" s="46">
        <v>6.437999999999999E-5</v>
      </c>
      <c r="D256" s="46">
        <v>0</v>
      </c>
      <c r="E256" s="174"/>
      <c r="F256" s="46" t="s">
        <v>184</v>
      </c>
      <c r="G256" s="46">
        <v>529.38339701999996</v>
      </c>
      <c r="H256" s="46">
        <v>0.14321388000000002</v>
      </c>
      <c r="I256" s="46">
        <v>0</v>
      </c>
      <c r="J256" s="46"/>
      <c r="K256" s="46" t="s">
        <v>381</v>
      </c>
      <c r="L256" s="46">
        <v>0</v>
      </c>
      <c r="M256" s="46">
        <v>0</v>
      </c>
      <c r="N256" s="46">
        <v>0</v>
      </c>
      <c r="V256" s="18"/>
      <c r="W256" s="18"/>
      <c r="X256" s="18"/>
      <c r="Y256" s="18"/>
      <c r="AA256" s="18"/>
      <c r="AB256" s="18"/>
      <c r="AC256" s="18"/>
      <c r="AF256" s="18"/>
      <c r="AG256" s="18"/>
      <c r="AH256" s="18"/>
    </row>
    <row r="257" spans="1:14" x14ac:dyDescent="0.35">
      <c r="A257" s="21" t="s">
        <v>352</v>
      </c>
      <c r="B257" s="46">
        <v>8.8419999999999992E-3</v>
      </c>
      <c r="C257" s="46">
        <v>0</v>
      </c>
      <c r="D257" s="46">
        <v>0</v>
      </c>
      <c r="E257" s="174"/>
      <c r="F257" s="46" t="s">
        <v>356</v>
      </c>
      <c r="G257" s="46">
        <v>7.9959360000000007E-2</v>
      </c>
      <c r="H257" s="46">
        <v>0.16037032999999998</v>
      </c>
      <c r="I257" s="46">
        <v>0</v>
      </c>
      <c r="J257" s="46"/>
      <c r="K257" s="46" t="s">
        <v>183</v>
      </c>
      <c r="L257" s="46">
        <v>8.2294599999999992E-3</v>
      </c>
      <c r="M257" s="46">
        <v>5.8428050000000002E-2</v>
      </c>
      <c r="N257" s="46">
        <v>0</v>
      </c>
    </row>
    <row r="258" spans="1:14" x14ac:dyDescent="0.35">
      <c r="A258" s="21" t="s">
        <v>670</v>
      </c>
      <c r="B258" s="46">
        <v>4.4395999999999998E-2</v>
      </c>
      <c r="C258" s="46">
        <v>0</v>
      </c>
      <c r="D258" s="46">
        <v>0</v>
      </c>
      <c r="E258" s="174"/>
      <c r="F258" s="46" t="s">
        <v>371</v>
      </c>
      <c r="G258" s="46">
        <v>0</v>
      </c>
      <c r="H258" s="46">
        <v>0</v>
      </c>
      <c r="I258" s="46">
        <v>0</v>
      </c>
      <c r="J258" s="46"/>
      <c r="K258" s="46" t="s">
        <v>185</v>
      </c>
      <c r="L258" s="46">
        <v>4.8186899999999996E-3</v>
      </c>
      <c r="M258" s="46">
        <v>0</v>
      </c>
      <c r="N258" s="46">
        <v>0</v>
      </c>
    </row>
    <row r="259" spans="1:14" x14ac:dyDescent="0.35">
      <c r="A259" s="52" t="s">
        <v>128</v>
      </c>
      <c r="B259" s="47">
        <v>0.14414645000000001</v>
      </c>
      <c r="C259" s="47">
        <v>2.3812E-4</v>
      </c>
      <c r="D259" s="47">
        <v>0</v>
      </c>
      <c r="E259" s="172"/>
      <c r="F259" s="47" t="s">
        <v>216</v>
      </c>
      <c r="G259" s="47">
        <v>0</v>
      </c>
      <c r="H259" s="47">
        <v>0</v>
      </c>
      <c r="I259" s="47">
        <v>0</v>
      </c>
      <c r="J259" s="47"/>
      <c r="K259" s="47" t="s">
        <v>216</v>
      </c>
      <c r="L259" s="47">
        <v>0</v>
      </c>
      <c r="M259" s="47">
        <v>0</v>
      </c>
      <c r="N259" s="47">
        <v>0</v>
      </c>
    </row>
    <row r="260" spans="1:14" x14ac:dyDescent="0.35">
      <c r="A260" s="106"/>
      <c r="B260" s="25">
        <f>SUBTOTAL(109,Table356353[Column2])</f>
        <v>5760.8322001700044</v>
      </c>
      <c r="C260" s="25">
        <f>SUBTOTAL(109,Table356353[Column3])</f>
        <v>6815.7432638399987</v>
      </c>
      <c r="D260" s="25">
        <f>SUBTOTAL(109,Table356353[Column4])</f>
        <v>6328.8095347899953</v>
      </c>
      <c r="E260" s="660"/>
      <c r="F260" s="21"/>
      <c r="G260" s="25">
        <f>SUBTOTAL(109,Table356353[Column7])</f>
        <v>6965.4215308100038</v>
      </c>
      <c r="H260" s="25">
        <f>SUBTOTAL(109,Table356353[Column8])</f>
        <v>3802.8583242400014</v>
      </c>
      <c r="I260" s="25">
        <f>SUBTOTAL(109,Table356353[Column9])</f>
        <v>4466.9541618299982</v>
      </c>
      <c r="J260" s="21"/>
      <c r="K260" s="21"/>
      <c r="L260" s="46">
        <f>SUBTOTAL(109,Table356353[Column12])</f>
        <v>355.92683244999989</v>
      </c>
      <c r="M260" s="46">
        <f>SUBTOTAL(109,Table356353[Column13])</f>
        <v>483.31740708109993</v>
      </c>
      <c r="N260" s="46">
        <f>SUBTOTAL(109,Table356353[Column14])</f>
        <v>446.11282109000018</v>
      </c>
    </row>
    <row r="262" spans="1:14" x14ac:dyDescent="0.35">
      <c r="C262" s="34"/>
      <c r="G262" s="34"/>
      <c r="H262" s="43"/>
    </row>
    <row r="263" spans="1:14" x14ac:dyDescent="0.35">
      <c r="C263" s="34"/>
      <c r="H263" s="18"/>
    </row>
    <row r="264" spans="1:14" x14ac:dyDescent="0.35">
      <c r="C264" s="34"/>
      <c r="D264" s="34"/>
    </row>
  </sheetData>
  <sortState xmlns:xlrd2="http://schemas.microsoft.com/office/spreadsheetml/2017/richdata2" ref="AE2:AH256">
    <sortCondition descending="1" ref="AH2:AH256"/>
  </sortState>
  <mergeCells count="6">
    <mergeCell ref="A2:D2"/>
    <mergeCell ref="K2:N2"/>
    <mergeCell ref="F2:I2"/>
    <mergeCell ref="B3:C3"/>
    <mergeCell ref="G3:H3"/>
    <mergeCell ref="L3:M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I20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644" t="s">
        <v>403</v>
      </c>
      <c r="B1" s="644"/>
      <c r="C1" s="644"/>
      <c r="D1" s="644"/>
      <c r="H1" s="628" t="s">
        <v>239</v>
      </c>
      <c r="I1" s="628"/>
    </row>
    <row r="2" spans="1:9" ht="13" x14ac:dyDescent="0.3">
      <c r="A2" s="100" t="s">
        <v>391</v>
      </c>
      <c r="B2" s="154">
        <v>45658</v>
      </c>
      <c r="C2" s="154">
        <v>45992</v>
      </c>
      <c r="D2" s="154">
        <v>46023</v>
      </c>
      <c r="E2" s="99" t="s">
        <v>439</v>
      </c>
      <c r="F2" s="99" t="s">
        <v>440</v>
      </c>
    </row>
    <row r="3" spans="1:9" x14ac:dyDescent="0.25">
      <c r="A3" s="63" t="s">
        <v>388</v>
      </c>
      <c r="B3" s="130">
        <v>169924.59428049703</v>
      </c>
      <c r="C3" s="130">
        <v>219510.28220629902</v>
      </c>
      <c r="D3" s="130">
        <v>224558.062521596</v>
      </c>
      <c r="E3" s="83">
        <f>((Table43146663[[#This Row],[Column4]]/Table43146663[[#This Row],[Column3]])-1)*100</f>
        <v>2.2995644051666764</v>
      </c>
      <c r="F3" s="83">
        <f>((Table43146663[[#This Row],[Column4]]/Table43146663[[#This Row],[Column2]])-1)*100</f>
        <v>32.151595519430629</v>
      </c>
    </row>
    <row r="4" spans="1:9" x14ac:dyDescent="0.25">
      <c r="A4" s="29" t="s">
        <v>389</v>
      </c>
      <c r="B4" s="61">
        <v>297651.63697000005</v>
      </c>
      <c r="C4" s="61">
        <v>204907.45068000001</v>
      </c>
      <c r="D4" s="61">
        <v>263326.72168000101</v>
      </c>
      <c r="E4" s="80">
        <f>((Table43146663[[#This Row],[Column4]]/Table43146663[[#This Row],[Column3]])-1)*100</f>
        <v>28.510076527784854</v>
      </c>
      <c r="F4" s="80">
        <f>((Table43146663[[#This Row],[Column4]]/Table43146663[[#This Row],[Column2]])-1)*100</f>
        <v>-11.531908790899282</v>
      </c>
    </row>
    <row r="5" spans="1:9" x14ac:dyDescent="0.25">
      <c r="A5" s="29" t="s">
        <v>437</v>
      </c>
      <c r="B5" s="61">
        <v>54.329230000000003</v>
      </c>
      <c r="C5" s="61">
        <v>409.16725000000002</v>
      </c>
      <c r="D5" s="61">
        <v>102.01635</v>
      </c>
      <c r="E5" s="80">
        <f>((Table43146663[[#This Row],[Column4]]/Table43146663[[#This Row],[Column3]])-1)*100</f>
        <v>-75.067322714611208</v>
      </c>
      <c r="F5" s="80">
        <f>((Table43146663[[#This Row],[Column4]]/Table43146663[[#This Row],[Column2]])-1)*100</f>
        <v>87.774334368442169</v>
      </c>
      <c r="G5" s="2"/>
    </row>
    <row r="6" spans="1:9" x14ac:dyDescent="0.25">
      <c r="A6" s="29" t="s">
        <v>387</v>
      </c>
      <c r="B6" s="61">
        <v>144.75851</v>
      </c>
      <c r="C6" s="61">
        <v>138.05066000000099</v>
      </c>
      <c r="D6" s="61">
        <v>106.46177</v>
      </c>
      <c r="E6" s="80">
        <f>((Table43146663[[#This Row],[Column4]]/Table43146663[[#This Row],[Column3]])-1)*100</f>
        <v>-22.8820999479472</v>
      </c>
      <c r="F6" s="80">
        <f>((Table43146663[[#This Row],[Column4]]/Table43146663[[#This Row],[Column2]])-1)*100</f>
        <v>-26.455605269769634</v>
      </c>
    </row>
    <row r="7" spans="1:9" x14ac:dyDescent="0.25">
      <c r="A7" s="29" t="s">
        <v>386</v>
      </c>
      <c r="B7" s="61">
        <v>0.5</v>
      </c>
      <c r="C7" s="61">
        <v>32.772500000000001</v>
      </c>
      <c r="D7" s="61">
        <v>1.0229999999999999</v>
      </c>
      <c r="E7" s="80">
        <f>((Table43146663[[#This Row],[Column4]]/Table43146663[[#This Row],[Column3]])-1)*100</f>
        <v>-96.878480433290107</v>
      </c>
      <c r="F7" s="80" t="s">
        <v>240</v>
      </c>
    </row>
    <row r="8" spans="1:9" x14ac:dyDescent="0.25">
      <c r="A8" s="64" t="s">
        <v>687</v>
      </c>
      <c r="B8" s="50">
        <v>0</v>
      </c>
      <c r="C8" s="50">
        <v>0</v>
      </c>
      <c r="D8" s="50">
        <v>1.2999999999999999E-2</v>
      </c>
      <c r="E8" s="280" t="s">
        <v>240</v>
      </c>
      <c r="F8" s="280" t="s">
        <v>240</v>
      </c>
    </row>
    <row r="9" spans="1:9" ht="13" x14ac:dyDescent="0.3">
      <c r="A9" s="102" t="s">
        <v>217</v>
      </c>
      <c r="B9" s="155">
        <f>SUBTOTAL(109,B3:B8)</f>
        <v>467775.81899049703</v>
      </c>
      <c r="C9" s="155">
        <f>SUBTOTAL(109,C3:C8)</f>
        <v>424997.72329629905</v>
      </c>
      <c r="D9" s="155">
        <f>SUBTOTAL(109,D3:D8)</f>
        <v>488094.29832159693</v>
      </c>
      <c r="E9" s="142">
        <f>((Table43146663[[#This Row],[Column4]]/Table43146663[[#This Row],[Column3]])-1)*100</f>
        <v>14.846332478187962</v>
      </c>
      <c r="F9" s="143">
        <f>((Table43146663[[#This Row],[Column4]]/Table43146663[[#This Row],[Column2]])-1)*100</f>
        <v>4.3436360979387523</v>
      </c>
    </row>
    <row r="10" spans="1:9" x14ac:dyDescent="0.25">
      <c r="B10" s="8"/>
      <c r="C10" s="8"/>
      <c r="D10" s="8"/>
    </row>
    <row r="11" spans="1:9" x14ac:dyDescent="0.25">
      <c r="D11" s="14"/>
    </row>
    <row r="12" spans="1:9" x14ac:dyDescent="0.25">
      <c r="C12" s="2"/>
      <c r="D12" s="14"/>
    </row>
    <row r="13" spans="1:9" x14ac:dyDescent="0.25">
      <c r="F13" s="4"/>
      <c r="G13" s="4"/>
      <c r="H13" s="4"/>
    </row>
    <row r="14" spans="1:9" x14ac:dyDescent="0.25">
      <c r="F14" s="4"/>
      <c r="G14" s="4"/>
      <c r="H14" s="4"/>
    </row>
    <row r="15" spans="1:9" x14ac:dyDescent="0.25">
      <c r="F15" s="4"/>
      <c r="G15" s="4"/>
      <c r="H15" s="4"/>
    </row>
    <row r="16" spans="1:9" x14ac:dyDescent="0.25">
      <c r="F16" s="4"/>
      <c r="G16" s="4"/>
      <c r="H16" s="4"/>
    </row>
    <row r="17" spans="6:8" x14ac:dyDescent="0.25">
      <c r="F17" s="4"/>
      <c r="G17" s="4"/>
      <c r="H17" s="4"/>
    </row>
    <row r="18" spans="6:8" x14ac:dyDescent="0.25">
      <c r="F18" s="4"/>
      <c r="G18" s="4"/>
      <c r="H18" s="4"/>
    </row>
    <row r="19" spans="6:8" x14ac:dyDescent="0.25">
      <c r="F19" s="4"/>
      <c r="G19" s="4"/>
      <c r="H19" s="4"/>
    </row>
    <row r="20" spans="6:8" x14ac:dyDescent="0.25">
      <c r="F20" s="4"/>
      <c r="G20" s="4"/>
      <c r="H20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AC2344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26.54296875" style="20" customWidth="1"/>
    <col min="2" max="2" width="13.81640625" style="20" bestFit="1" customWidth="1"/>
    <col min="3" max="3" width="10.7265625" style="20" customWidth="1"/>
    <col min="4" max="4" width="40.81640625" style="20" customWidth="1"/>
    <col min="5" max="5" width="15.36328125" style="20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3.6328125" style="281" bestFit="1" customWidth="1"/>
    <col min="11" max="11" width="14.54296875" style="1" bestFit="1" customWidth="1"/>
    <col min="12" max="12" width="38" style="53" customWidth="1"/>
    <col min="13" max="13" width="13.81640625" style="147" bestFit="1" customWidth="1"/>
    <col min="14" max="14" width="7.36328125" style="147" bestFit="1" customWidth="1"/>
    <col min="15" max="15" width="42.54296875" style="53" customWidth="1"/>
    <col min="16" max="16" width="15.453125" style="4" bestFit="1" customWidth="1"/>
    <col min="17" max="17" width="8.453125" style="1" customWidth="1"/>
    <col min="18" max="21" width="6.81640625" style="1" customWidth="1"/>
    <col min="22" max="23" width="8.81640625" style="1"/>
    <col min="24" max="24" width="12.90625" style="1" customWidth="1"/>
    <col min="25" max="25" width="14.7265625" style="1" customWidth="1"/>
    <col min="26" max="26" width="9.08984375" style="1" bestFit="1" customWidth="1"/>
    <col min="27" max="27" width="9" style="4" bestFit="1" customWidth="1"/>
    <col min="28" max="28" width="8.81640625" style="1"/>
    <col min="29" max="29" width="8.81640625" style="4"/>
    <col min="30" max="16384" width="8.81640625" style="1"/>
  </cols>
  <sheetData>
    <row r="1" spans="1:29" s="3" customFormat="1" ht="13" x14ac:dyDescent="0.3">
      <c r="A1" s="11" t="s">
        <v>708</v>
      </c>
      <c r="B1" s="11"/>
      <c r="C1" s="11"/>
      <c r="D1" s="11"/>
      <c r="E1" s="11"/>
      <c r="G1" s="11" t="s">
        <v>689</v>
      </c>
      <c r="J1" s="282"/>
      <c r="L1" s="32" t="s">
        <v>690</v>
      </c>
      <c r="M1" s="144"/>
      <c r="N1" s="144"/>
      <c r="O1" s="19"/>
      <c r="P1" s="66"/>
      <c r="S1" s="7" t="s">
        <v>239</v>
      </c>
      <c r="AA1" s="66"/>
      <c r="AC1" s="66"/>
    </row>
    <row r="2" spans="1:29" ht="13" x14ac:dyDescent="0.3">
      <c r="A2" s="122" t="s">
        <v>422</v>
      </c>
      <c r="B2" s="122" t="s">
        <v>243</v>
      </c>
      <c r="C2" s="121"/>
      <c r="D2" s="26" t="s">
        <v>422</v>
      </c>
      <c r="E2" s="26" t="s">
        <v>219</v>
      </c>
      <c r="F2" s="120"/>
      <c r="G2" s="84" t="s">
        <v>218</v>
      </c>
      <c r="H2" s="58" t="s">
        <v>220</v>
      </c>
      <c r="I2" s="6" t="s">
        <v>243</v>
      </c>
      <c r="J2" s="283" t="s">
        <v>219</v>
      </c>
      <c r="L2" s="145" t="s">
        <v>420</v>
      </c>
      <c r="M2" s="145" t="s">
        <v>421</v>
      </c>
      <c r="N2" s="145" t="s">
        <v>234</v>
      </c>
      <c r="O2" s="145" t="s">
        <v>420</v>
      </c>
      <c r="P2" s="236" t="s">
        <v>419</v>
      </c>
      <c r="Q2" s="26" t="s">
        <v>234</v>
      </c>
    </row>
    <row r="3" spans="1:29" s="10" customFormat="1" ht="12.5" customHeight="1" x14ac:dyDescent="0.25">
      <c r="A3" s="396" t="s">
        <v>418</v>
      </c>
      <c r="B3" s="379">
        <v>6016.3570116199999</v>
      </c>
      <c r="C3" s="31"/>
      <c r="D3" s="396" t="s">
        <v>418</v>
      </c>
      <c r="E3" s="379">
        <v>4410.2464431900098</v>
      </c>
      <c r="F3" s="330"/>
      <c r="G3" s="606">
        <v>2025</v>
      </c>
      <c r="H3" s="116" t="s">
        <v>221</v>
      </c>
      <c r="I3" s="397">
        <v>196.48678371</v>
      </c>
      <c r="J3" s="397">
        <v>2338.03645684001</v>
      </c>
      <c r="L3" s="378" t="s">
        <v>8</v>
      </c>
      <c r="M3" s="433">
        <v>129.03750156000001</v>
      </c>
      <c r="N3" s="429">
        <f>(M3/$M$224)*100</f>
        <v>47.620948090942349</v>
      </c>
      <c r="O3" s="439" t="s">
        <v>355</v>
      </c>
      <c r="P3" s="433">
        <v>232.21725943999999</v>
      </c>
      <c r="Q3" s="430">
        <f>(P3/$P$224)*100</f>
        <v>10.435572647807568</v>
      </c>
      <c r="Z3" s="1"/>
      <c r="AA3" s="4"/>
      <c r="AB3" s="1"/>
      <c r="AC3" s="4"/>
    </row>
    <row r="4" spans="1:29" s="10" customFormat="1" ht="12.5" customHeight="1" x14ac:dyDescent="0.25">
      <c r="A4" s="398" t="s">
        <v>411</v>
      </c>
      <c r="B4" s="381">
        <v>2259.6144697399995</v>
      </c>
      <c r="C4" s="31"/>
      <c r="D4" s="398" t="s">
        <v>415</v>
      </c>
      <c r="E4" s="381">
        <v>2225.2469248900097</v>
      </c>
      <c r="F4" s="330"/>
      <c r="G4" s="607"/>
      <c r="H4" s="116" t="s">
        <v>222</v>
      </c>
      <c r="I4" s="399">
        <v>295.50831686999999</v>
      </c>
      <c r="J4" s="399">
        <v>2836.66916626998</v>
      </c>
      <c r="L4" s="380" t="s">
        <v>0</v>
      </c>
      <c r="M4" s="434">
        <v>47.497399999999999</v>
      </c>
      <c r="N4" s="285">
        <f t="shared" ref="N4:N67" si="0">(M4/$M$224)*100</f>
        <v>17.528789634872137</v>
      </c>
      <c r="O4" s="386" t="s">
        <v>179</v>
      </c>
      <c r="P4" s="434">
        <v>203.49920659</v>
      </c>
      <c r="Q4" s="431">
        <f t="shared" ref="Q4:Q67" si="1">(P4/$P$224)*100</f>
        <v>9.1450168659399189</v>
      </c>
      <c r="Z4" s="1"/>
      <c r="AA4" s="4"/>
      <c r="AB4" s="1"/>
      <c r="AC4" s="4"/>
    </row>
    <row r="5" spans="1:29" s="10" customFormat="1" ht="11.5" customHeight="1" x14ac:dyDescent="0.25">
      <c r="A5" s="398" t="s">
        <v>416</v>
      </c>
      <c r="B5" s="381">
        <v>1208.0788426900001</v>
      </c>
      <c r="C5" s="31"/>
      <c r="D5" s="398" t="s">
        <v>417</v>
      </c>
      <c r="E5" s="381">
        <v>1559.5496729899901</v>
      </c>
      <c r="F5" s="330"/>
      <c r="G5" s="607"/>
      <c r="H5" s="116" t="s">
        <v>223</v>
      </c>
      <c r="I5" s="399">
        <v>277.77167502999998</v>
      </c>
      <c r="J5" s="399">
        <v>3351.3858141000101</v>
      </c>
      <c r="L5" s="380" t="s">
        <v>55</v>
      </c>
      <c r="M5" s="434">
        <v>15.42049817</v>
      </c>
      <c r="N5" s="285">
        <f t="shared" si="0"/>
        <v>5.6908939960263245</v>
      </c>
      <c r="O5" s="386" t="s">
        <v>171</v>
      </c>
      <c r="P5" s="434">
        <v>88.040322230000001</v>
      </c>
      <c r="Q5" s="431">
        <f t="shared" si="1"/>
        <v>3.9564293402788109</v>
      </c>
      <c r="Z5" s="1"/>
      <c r="AA5" s="4"/>
      <c r="AB5" s="1"/>
      <c r="AC5" s="4"/>
    </row>
    <row r="6" spans="1:29" s="117" customFormat="1" ht="14.5" customHeight="1" x14ac:dyDescent="0.25">
      <c r="A6" s="400" t="s">
        <v>417</v>
      </c>
      <c r="B6" s="381">
        <v>496.11236774999998</v>
      </c>
      <c r="C6" s="110"/>
      <c r="D6" s="400" t="s">
        <v>416</v>
      </c>
      <c r="E6" s="381">
        <v>1059.55670573</v>
      </c>
      <c r="F6" s="118"/>
      <c r="G6" s="607"/>
      <c r="H6" s="116" t="s">
        <v>224</v>
      </c>
      <c r="I6" s="399">
        <v>224.09120505999999</v>
      </c>
      <c r="J6" s="399">
        <v>3152.84046166999</v>
      </c>
      <c r="L6" s="380" t="s">
        <v>28</v>
      </c>
      <c r="M6" s="434">
        <v>14.663755</v>
      </c>
      <c r="N6" s="285">
        <f t="shared" si="0"/>
        <v>5.4116199339817435</v>
      </c>
      <c r="O6" s="386" t="s">
        <v>146</v>
      </c>
      <c r="P6" s="434">
        <v>47.402035090000005</v>
      </c>
      <c r="Q6" s="431">
        <f t="shared" si="1"/>
        <v>2.130192140018043</v>
      </c>
      <c r="Z6" s="1"/>
      <c r="AA6" s="4"/>
      <c r="AB6" s="1"/>
      <c r="AC6" s="4"/>
    </row>
    <row r="7" spans="1:29" ht="12.65" customHeight="1" x14ac:dyDescent="0.25">
      <c r="A7" s="380" t="s">
        <v>414</v>
      </c>
      <c r="B7" s="381">
        <v>408.74236638999997</v>
      </c>
      <c r="D7" s="380" t="s">
        <v>413</v>
      </c>
      <c r="E7" s="381">
        <v>1016.78824147</v>
      </c>
      <c r="F7" s="4"/>
      <c r="G7" s="607"/>
      <c r="H7" s="116" t="s">
        <v>225</v>
      </c>
      <c r="I7" s="399">
        <v>232.78069997999998</v>
      </c>
      <c r="J7" s="399">
        <v>2676.6518394499799</v>
      </c>
      <c r="L7" s="380" t="s">
        <v>18</v>
      </c>
      <c r="M7" s="434">
        <v>8.8527353400000006</v>
      </c>
      <c r="N7" s="285">
        <f t="shared" si="0"/>
        <v>3.2670785236256781</v>
      </c>
      <c r="O7" s="386" t="s">
        <v>195</v>
      </c>
      <c r="P7" s="434">
        <v>47.214405960000001</v>
      </c>
      <c r="Q7" s="431">
        <f t="shared" si="1"/>
        <v>2.1217603058740959</v>
      </c>
    </row>
    <row r="8" spans="1:29" ht="14.5" customHeight="1" x14ac:dyDescent="0.25">
      <c r="A8" s="380" t="s">
        <v>412</v>
      </c>
      <c r="B8" s="381">
        <v>389.13350400999997</v>
      </c>
      <c r="D8" s="380" t="s">
        <v>688</v>
      </c>
      <c r="E8" s="381">
        <v>351.52504703000005</v>
      </c>
      <c r="F8" s="4"/>
      <c r="G8" s="607"/>
      <c r="H8" s="116" t="s">
        <v>226</v>
      </c>
      <c r="I8" s="399">
        <v>251.49036533</v>
      </c>
      <c r="J8" s="399">
        <v>2681.7498052199999</v>
      </c>
      <c r="L8" s="380" t="s">
        <v>143</v>
      </c>
      <c r="M8" s="434">
        <v>7.0901300000000003</v>
      </c>
      <c r="N8" s="285">
        <f t="shared" si="0"/>
        <v>2.6165936925788778</v>
      </c>
      <c r="O8" s="386" t="s">
        <v>160</v>
      </c>
      <c r="P8" s="434">
        <v>44.991091240000003</v>
      </c>
      <c r="Q8" s="431">
        <f t="shared" si="1"/>
        <v>2.0218471369070201</v>
      </c>
    </row>
    <row r="9" spans="1:29" ht="12.65" customHeight="1" x14ac:dyDescent="0.25">
      <c r="A9" s="380" t="s">
        <v>415</v>
      </c>
      <c r="B9" s="381">
        <v>270.96793897000003</v>
      </c>
      <c r="D9" s="380" t="s">
        <v>411</v>
      </c>
      <c r="E9" s="381">
        <v>232.02980041000001</v>
      </c>
      <c r="F9" s="4"/>
      <c r="G9" s="607"/>
      <c r="H9" s="116" t="s">
        <v>227</v>
      </c>
      <c r="I9" s="399">
        <v>261.11878117999998</v>
      </c>
      <c r="J9" s="399">
        <v>3081.8096165399897</v>
      </c>
      <c r="L9" s="380" t="s">
        <v>62</v>
      </c>
      <c r="M9" s="434">
        <v>5.15570284</v>
      </c>
      <c r="N9" s="285">
        <f t="shared" si="0"/>
        <v>1.9026984740695876</v>
      </c>
      <c r="O9" s="386" t="s">
        <v>180</v>
      </c>
      <c r="P9" s="434">
        <v>43.851306879999896</v>
      </c>
      <c r="Q9" s="431">
        <f t="shared" si="1"/>
        <v>1.970626557866946</v>
      </c>
    </row>
    <row r="10" spans="1:29" s="53" customFormat="1" ht="14.5" customHeight="1" x14ac:dyDescent="0.25">
      <c r="A10" s="387" t="s">
        <v>413</v>
      </c>
      <c r="B10" s="381">
        <v>236.43553703999999</v>
      </c>
      <c r="C10" s="30"/>
      <c r="D10" s="387" t="s">
        <v>414</v>
      </c>
      <c r="E10" s="381">
        <v>211.22355403</v>
      </c>
      <c r="F10" s="334"/>
      <c r="G10" s="607"/>
      <c r="H10" s="116" t="s">
        <v>228</v>
      </c>
      <c r="I10" s="399">
        <v>268.47979442000002</v>
      </c>
      <c r="J10" s="399">
        <v>3042.6386868600403</v>
      </c>
      <c r="L10" s="380" t="s">
        <v>48</v>
      </c>
      <c r="M10" s="434">
        <v>4.9960146600000002</v>
      </c>
      <c r="N10" s="285">
        <f t="shared" si="0"/>
        <v>1.8437659743033776</v>
      </c>
      <c r="O10" s="386" t="s">
        <v>27</v>
      </c>
      <c r="P10" s="434">
        <v>40.287055389999999</v>
      </c>
      <c r="Q10" s="431">
        <f t="shared" si="1"/>
        <v>1.8104532552939705</v>
      </c>
      <c r="Z10" s="1"/>
      <c r="AA10" s="4"/>
      <c r="AB10" s="1"/>
      <c r="AC10" s="4"/>
    </row>
    <row r="11" spans="1:29" s="53" customFormat="1" ht="14.5" customHeight="1" x14ac:dyDescent="0.25">
      <c r="A11" s="387" t="s">
        <v>410</v>
      </c>
      <c r="B11" s="381">
        <v>86.175457260000002</v>
      </c>
      <c r="C11" s="30"/>
      <c r="D11" s="387" t="s">
        <v>412</v>
      </c>
      <c r="E11" s="381">
        <v>56.103655900000106</v>
      </c>
      <c r="F11" s="334"/>
      <c r="G11" s="607"/>
      <c r="H11" s="116" t="s">
        <v>652</v>
      </c>
      <c r="I11" s="399">
        <v>221.32739808000002</v>
      </c>
      <c r="J11" s="399">
        <v>1989.81423834</v>
      </c>
      <c r="L11" s="380" t="s">
        <v>36</v>
      </c>
      <c r="M11" s="434">
        <v>3.3110168</v>
      </c>
      <c r="N11" s="285">
        <f t="shared" si="0"/>
        <v>1.221921978144646</v>
      </c>
      <c r="O11" s="386" t="s">
        <v>81</v>
      </c>
      <c r="P11" s="434">
        <v>39.233085020000004</v>
      </c>
      <c r="Q11" s="431">
        <f t="shared" si="1"/>
        <v>1.7630890568218347</v>
      </c>
      <c r="Z11" s="1"/>
      <c r="AA11" s="4"/>
      <c r="AB11" s="1"/>
      <c r="AC11" s="4"/>
    </row>
    <row r="12" spans="1:29" ht="12.65" customHeight="1" x14ac:dyDescent="0.25">
      <c r="A12" s="380" t="s">
        <v>408</v>
      </c>
      <c r="B12" s="381">
        <v>63.474819459999999</v>
      </c>
      <c r="D12" s="380" t="s">
        <v>410</v>
      </c>
      <c r="E12" s="381">
        <v>55.452861820000003</v>
      </c>
      <c r="F12" s="4"/>
      <c r="G12" s="607"/>
      <c r="H12" s="116" t="s">
        <v>230</v>
      </c>
      <c r="I12" s="399">
        <v>287.18858230000001</v>
      </c>
      <c r="J12" s="399">
        <v>3333.8821932000096</v>
      </c>
      <c r="L12" s="380" t="s">
        <v>140</v>
      </c>
      <c r="M12" s="434">
        <v>2.7895530000000002</v>
      </c>
      <c r="N12" s="285">
        <f t="shared" si="0"/>
        <v>1.0294771442716122</v>
      </c>
      <c r="O12" s="386" t="s">
        <v>80</v>
      </c>
      <c r="P12" s="434">
        <v>37.396457170000005</v>
      </c>
      <c r="Q12" s="431">
        <f t="shared" si="1"/>
        <v>1.6805531445391659</v>
      </c>
    </row>
    <row r="13" spans="1:29" ht="12.65" customHeight="1" x14ac:dyDescent="0.25">
      <c r="A13" s="380" t="s">
        <v>671</v>
      </c>
      <c r="B13" s="381">
        <v>1.39345488</v>
      </c>
      <c r="D13" s="380" t="s">
        <v>409</v>
      </c>
      <c r="E13" s="381">
        <v>39.929399750000002</v>
      </c>
      <c r="F13" s="4"/>
      <c r="G13" s="607"/>
      <c r="H13" s="116" t="s">
        <v>231</v>
      </c>
      <c r="I13" s="399">
        <v>265.54292071000003</v>
      </c>
      <c r="J13" s="399">
        <v>3398.1356472500001</v>
      </c>
      <c r="L13" s="380" t="s">
        <v>9</v>
      </c>
      <c r="M13" s="434">
        <v>2.7400252300000001</v>
      </c>
      <c r="N13" s="285">
        <f t="shared" si="0"/>
        <v>1.0111990519673106</v>
      </c>
      <c r="O13" s="386" t="s">
        <v>28</v>
      </c>
      <c r="P13" s="434">
        <v>36.021583790000001</v>
      </c>
      <c r="Q13" s="431">
        <f t="shared" si="1"/>
        <v>1.618767939282991</v>
      </c>
    </row>
    <row r="14" spans="1:29" ht="14.5" customHeight="1" x14ac:dyDescent="0.25">
      <c r="A14" s="380" t="s">
        <v>407</v>
      </c>
      <c r="B14" s="381">
        <v>0.397872</v>
      </c>
      <c r="D14" s="380" t="s">
        <v>408</v>
      </c>
      <c r="E14" s="381">
        <v>14.7514696</v>
      </c>
      <c r="F14" s="4"/>
      <c r="G14" s="608"/>
      <c r="H14" s="116" t="s">
        <v>232</v>
      </c>
      <c r="I14" s="399">
        <v>243.51846164</v>
      </c>
      <c r="J14" s="399">
        <v>2464.9188182299999</v>
      </c>
      <c r="L14" s="380" t="s">
        <v>27</v>
      </c>
      <c r="M14" s="434">
        <v>2.5952470000000001</v>
      </c>
      <c r="N14" s="285">
        <f t="shared" si="0"/>
        <v>0.95776902974758626</v>
      </c>
      <c r="O14" s="386" t="s">
        <v>176</v>
      </c>
      <c r="P14" s="434">
        <v>33.693640819999999</v>
      </c>
      <c r="Q14" s="431">
        <f t="shared" si="1"/>
        <v>1.5141528988593278</v>
      </c>
    </row>
    <row r="15" spans="1:29" ht="12.5" customHeight="1" x14ac:dyDescent="0.25">
      <c r="A15" s="380" t="s">
        <v>404</v>
      </c>
      <c r="B15" s="381">
        <v>0.37319999999999998</v>
      </c>
      <c r="D15" s="380" t="s">
        <v>407</v>
      </c>
      <c r="E15" s="381">
        <v>5.9570812999999996</v>
      </c>
      <c r="F15" s="4"/>
      <c r="G15" s="426">
        <v>2026</v>
      </c>
      <c r="H15" s="116" t="s">
        <v>221</v>
      </c>
      <c r="I15" s="401">
        <v>270.96793897000003</v>
      </c>
      <c r="J15" s="401">
        <v>2225.2469248900097</v>
      </c>
      <c r="L15" s="380" t="s">
        <v>208</v>
      </c>
      <c r="M15" s="434">
        <v>2.5108630699999996</v>
      </c>
      <c r="N15" s="285">
        <f t="shared" si="0"/>
        <v>0.92662736393990464</v>
      </c>
      <c r="O15" s="386" t="s">
        <v>83</v>
      </c>
      <c r="P15" s="434">
        <v>32.56378557</v>
      </c>
      <c r="Q15" s="431">
        <f t="shared" si="1"/>
        <v>1.4633785224356484</v>
      </c>
    </row>
    <row r="16" spans="1:29" ht="12.5" customHeight="1" x14ac:dyDescent="0.25">
      <c r="A16" s="380" t="s">
        <v>409</v>
      </c>
      <c r="B16" s="381">
        <v>0.29245300000000002</v>
      </c>
      <c r="D16" s="380" t="s">
        <v>405</v>
      </c>
      <c r="E16" s="381">
        <v>2.8547426300000001</v>
      </c>
      <c r="F16" s="4"/>
      <c r="G16" s="115"/>
      <c r="I16" s="115"/>
      <c r="L16" s="380" t="s">
        <v>157</v>
      </c>
      <c r="M16" s="434">
        <v>2.1672660000000001</v>
      </c>
      <c r="N16" s="285">
        <f t="shared" si="0"/>
        <v>0.7998237755500468</v>
      </c>
      <c r="O16" s="386" t="s">
        <v>381</v>
      </c>
      <c r="P16" s="434">
        <v>32.004831629999998</v>
      </c>
      <c r="Q16" s="431">
        <f t="shared" si="1"/>
        <v>1.4382597846565754</v>
      </c>
    </row>
    <row r="17" spans="1:29" ht="12.5" customHeight="1" x14ac:dyDescent="0.25">
      <c r="A17" s="382" t="s">
        <v>405</v>
      </c>
      <c r="B17" s="383">
        <v>1.895E-3</v>
      </c>
      <c r="D17" s="380" t="s">
        <v>406</v>
      </c>
      <c r="E17" s="381">
        <v>2.1802251500000001</v>
      </c>
      <c r="F17" s="4"/>
      <c r="G17" s="171"/>
      <c r="H17" s="114"/>
      <c r="I17" s="171"/>
      <c r="J17" s="284"/>
      <c r="L17" s="380" t="s">
        <v>146</v>
      </c>
      <c r="M17" s="434">
        <v>1.9087076200000002</v>
      </c>
      <c r="N17" s="285">
        <f t="shared" si="0"/>
        <v>0.70440349041121131</v>
      </c>
      <c r="O17" s="386" t="s">
        <v>192</v>
      </c>
      <c r="P17" s="434">
        <v>30.829142469999997</v>
      </c>
      <c r="Q17" s="431">
        <f t="shared" si="1"/>
        <v>1.3854256858044618</v>
      </c>
    </row>
    <row r="18" spans="1:29" ht="12.65" customHeight="1" x14ac:dyDescent="0.25">
      <c r="A18" s="151" t="s">
        <v>217</v>
      </c>
      <c r="B18" s="332">
        <f>SUBTOTAL(109,Table476865[Column2])</f>
        <v>11437.551189810001</v>
      </c>
      <c r="D18" s="380" t="s">
        <v>682</v>
      </c>
      <c r="E18" s="381">
        <v>0.69732284</v>
      </c>
      <c r="F18" s="4"/>
      <c r="G18" s="171"/>
      <c r="H18" s="114"/>
      <c r="I18" s="4"/>
      <c r="K18" s="171"/>
      <c r="L18" s="380" t="s">
        <v>58</v>
      </c>
      <c r="M18" s="434">
        <v>1.8993679999999999</v>
      </c>
      <c r="N18" s="285">
        <f t="shared" si="0"/>
        <v>0.70095672839371881</v>
      </c>
      <c r="O18" s="386" t="s">
        <v>178</v>
      </c>
      <c r="P18" s="434">
        <v>30.211562059999999</v>
      </c>
      <c r="Q18" s="431">
        <f t="shared" si="1"/>
        <v>1.3576723428791357</v>
      </c>
    </row>
    <row r="19" spans="1:29" ht="12.5" customHeight="1" x14ac:dyDescent="0.25">
      <c r="D19" s="380" t="s">
        <v>684</v>
      </c>
      <c r="E19" s="381">
        <v>0.13500000000000001</v>
      </c>
      <c r="F19" s="4"/>
      <c r="I19" s="4"/>
      <c r="K19" s="171"/>
      <c r="L19" s="380" t="s">
        <v>188</v>
      </c>
      <c r="M19" s="434">
        <v>1.80839051</v>
      </c>
      <c r="N19" s="285">
        <f t="shared" si="0"/>
        <v>0.66738172673639262</v>
      </c>
      <c r="O19" s="386" t="s">
        <v>12</v>
      </c>
      <c r="P19" s="434">
        <v>30.08544388</v>
      </c>
      <c r="Q19" s="431">
        <f t="shared" si="1"/>
        <v>1.3520047390465302</v>
      </c>
    </row>
    <row r="20" spans="1:29" ht="11.5" customHeight="1" x14ac:dyDescent="0.25">
      <c r="A20" s="38"/>
      <c r="B20" s="38"/>
      <c r="D20" s="398" t="s">
        <v>683</v>
      </c>
      <c r="E20" s="381">
        <v>6.4730110000000007E-2</v>
      </c>
      <c r="F20" s="4"/>
      <c r="I20" s="4"/>
      <c r="L20" s="380" t="s">
        <v>87</v>
      </c>
      <c r="M20" s="434">
        <v>1.581</v>
      </c>
      <c r="N20" s="285">
        <f t="shared" si="0"/>
        <v>0.58346386144784446</v>
      </c>
      <c r="O20" s="386" t="s">
        <v>145</v>
      </c>
      <c r="P20" s="434">
        <v>29.105360280000003</v>
      </c>
      <c r="Q20" s="431">
        <f t="shared" si="1"/>
        <v>1.3079609257942799</v>
      </c>
    </row>
    <row r="21" spans="1:29" ht="12.5" customHeight="1" x14ac:dyDescent="0.3">
      <c r="D21" s="380" t="s">
        <v>672</v>
      </c>
      <c r="E21" s="381">
        <v>1.1301E-2</v>
      </c>
      <c r="G21" s="131"/>
      <c r="H21" s="3"/>
      <c r="I21" s="4"/>
      <c r="K21" s="3"/>
      <c r="L21" s="380" t="s">
        <v>80</v>
      </c>
      <c r="M21" s="434">
        <v>1.4531803600000002</v>
      </c>
      <c r="N21" s="285">
        <f t="shared" si="0"/>
        <v>0.53629236193913266</v>
      </c>
      <c r="O21" s="386" t="s">
        <v>106</v>
      </c>
      <c r="P21" s="434">
        <v>28.30632688</v>
      </c>
      <c r="Q21" s="431">
        <f t="shared" si="1"/>
        <v>1.272053297249214</v>
      </c>
      <c r="R21" s="3"/>
      <c r="S21" s="3"/>
      <c r="T21" s="3"/>
    </row>
    <row r="22" spans="1:29" s="10" customFormat="1" ht="12.5" customHeight="1" x14ac:dyDescent="0.25">
      <c r="A22" s="31"/>
      <c r="B22" s="31"/>
      <c r="C22" s="113"/>
      <c r="D22" s="382" t="s">
        <v>671</v>
      </c>
      <c r="E22" s="383">
        <v>3.9711900000000003E-3</v>
      </c>
      <c r="G22" s="171"/>
      <c r="H22" s="4"/>
      <c r="I22" s="4"/>
      <c r="J22" s="281"/>
      <c r="K22" s="112"/>
      <c r="L22" s="380" t="s">
        <v>11</v>
      </c>
      <c r="M22" s="434">
        <v>1.1599219999999999</v>
      </c>
      <c r="N22" s="285">
        <f t="shared" si="0"/>
        <v>0.42806614111214841</v>
      </c>
      <c r="O22" s="386" t="s">
        <v>21</v>
      </c>
      <c r="P22" s="434">
        <v>27.687406230000001</v>
      </c>
      <c r="Q22" s="431">
        <f t="shared" si="1"/>
        <v>1.2442397255023125</v>
      </c>
      <c r="R22" s="112"/>
      <c r="S22" s="112"/>
      <c r="T22" s="112"/>
      <c r="U22" s="112"/>
      <c r="Z22" s="1"/>
      <c r="AA22" s="4"/>
      <c r="AB22" s="1"/>
      <c r="AC22" s="4"/>
    </row>
    <row r="23" spans="1:29" ht="11.5" customHeight="1" x14ac:dyDescent="0.25">
      <c r="D23" s="36" t="s">
        <v>217</v>
      </c>
      <c r="E23" s="331">
        <f>SUBTOTAL(109,Table76764[Column2])</f>
        <v>11244.308151030011</v>
      </c>
      <c r="H23" s="111"/>
      <c r="I23" s="4"/>
      <c r="K23" s="111"/>
      <c r="L23" s="380" t="s">
        <v>50</v>
      </c>
      <c r="M23" s="434">
        <v>1.09263154</v>
      </c>
      <c r="N23" s="285">
        <f t="shared" si="0"/>
        <v>0.40323277512214095</v>
      </c>
      <c r="O23" s="386" t="s">
        <v>208</v>
      </c>
      <c r="P23" s="434">
        <v>27.344786289999998</v>
      </c>
      <c r="Q23" s="431">
        <f t="shared" si="1"/>
        <v>1.2288427852271591</v>
      </c>
      <c r="R23" s="111"/>
      <c r="S23" s="111"/>
      <c r="T23" s="111"/>
      <c r="U23" s="111"/>
    </row>
    <row r="24" spans="1:29" x14ac:dyDescent="0.25">
      <c r="D24" s="1"/>
      <c r="E24" s="4"/>
      <c r="H24" s="111"/>
      <c r="K24" s="111"/>
      <c r="L24" s="380" t="s">
        <v>101</v>
      </c>
      <c r="M24" s="434">
        <v>1.03110426</v>
      </c>
      <c r="N24" s="285">
        <f t="shared" si="0"/>
        <v>0.38052629544270855</v>
      </c>
      <c r="O24" s="386" t="s">
        <v>62</v>
      </c>
      <c r="P24" s="434">
        <v>25.428576769999999</v>
      </c>
      <c r="Q24" s="431">
        <f t="shared" si="1"/>
        <v>1.1427305655644033</v>
      </c>
      <c r="R24" s="111"/>
      <c r="S24" s="111"/>
      <c r="T24" s="111"/>
      <c r="U24" s="111"/>
    </row>
    <row r="25" spans="1:29" x14ac:dyDescent="0.25">
      <c r="A25" s="38"/>
      <c r="B25" s="38"/>
      <c r="C25" s="4"/>
      <c r="D25" s="1"/>
      <c r="E25" s="4"/>
      <c r="H25" s="111"/>
      <c r="K25" s="111"/>
      <c r="L25" s="380" t="s">
        <v>94</v>
      </c>
      <c r="M25" s="434">
        <v>0.93541600000000003</v>
      </c>
      <c r="N25" s="285">
        <f t="shared" si="0"/>
        <v>0.34521279659715176</v>
      </c>
      <c r="O25" s="386" t="s">
        <v>84</v>
      </c>
      <c r="P25" s="434">
        <v>25.395298449999999</v>
      </c>
      <c r="Q25" s="431">
        <f t="shared" si="1"/>
        <v>1.1412350766985262</v>
      </c>
      <c r="R25" s="111"/>
      <c r="S25" s="111"/>
      <c r="T25" s="111"/>
      <c r="U25" s="111"/>
    </row>
    <row r="26" spans="1:29" ht="11" customHeight="1" x14ac:dyDescent="0.25">
      <c r="C26" s="4"/>
      <c r="D26" s="4"/>
      <c r="E26" s="4"/>
      <c r="H26" s="111"/>
      <c r="K26" s="111"/>
      <c r="L26" s="380" t="s">
        <v>30</v>
      </c>
      <c r="M26" s="434">
        <v>0.87771399999999999</v>
      </c>
      <c r="N26" s="285">
        <f t="shared" si="0"/>
        <v>0.32391802636738354</v>
      </c>
      <c r="O26" s="386" t="s">
        <v>140</v>
      </c>
      <c r="P26" s="434">
        <v>24.99414926</v>
      </c>
      <c r="Q26" s="431">
        <f t="shared" si="1"/>
        <v>1.1232079002304662</v>
      </c>
      <c r="R26" s="111"/>
      <c r="S26" s="111"/>
      <c r="T26" s="111"/>
      <c r="U26" s="111"/>
    </row>
    <row r="27" spans="1:29" x14ac:dyDescent="0.25">
      <c r="A27" s="1"/>
      <c r="B27" s="18"/>
      <c r="C27" s="4"/>
      <c r="D27" s="4"/>
      <c r="E27" s="4"/>
      <c r="F27" s="18"/>
      <c r="L27" s="380" t="s">
        <v>37</v>
      </c>
      <c r="M27" s="434">
        <v>0.79220000000000002</v>
      </c>
      <c r="N27" s="285">
        <f t="shared" si="0"/>
        <v>0.29235931122010272</v>
      </c>
      <c r="O27" s="386" t="s">
        <v>96</v>
      </c>
      <c r="P27" s="434">
        <v>24.76799668</v>
      </c>
      <c r="Q27" s="431">
        <f t="shared" si="1"/>
        <v>1.1130448671993709</v>
      </c>
    </row>
    <row r="28" spans="1:29" x14ac:dyDescent="0.25">
      <c r="A28" s="1"/>
      <c r="B28" s="121"/>
      <c r="C28" s="121"/>
      <c r="D28" s="121"/>
      <c r="E28" s="1"/>
      <c r="F28" s="121"/>
      <c r="J28" s="329"/>
      <c r="L28" s="380" t="s">
        <v>180</v>
      </c>
      <c r="M28" s="434">
        <v>0.65219359999999993</v>
      </c>
      <c r="N28" s="285">
        <f t="shared" si="0"/>
        <v>0.24069032021984241</v>
      </c>
      <c r="O28" s="386" t="s">
        <v>5</v>
      </c>
      <c r="P28" s="434">
        <v>24.20086457</v>
      </c>
      <c r="Q28" s="431">
        <f t="shared" si="1"/>
        <v>1.0875586120042073</v>
      </c>
    </row>
    <row r="29" spans="1:29" x14ac:dyDescent="0.25">
      <c r="D29" s="121"/>
      <c r="E29" s="1"/>
      <c r="J29" s="329"/>
      <c r="L29" s="380" t="s">
        <v>38</v>
      </c>
      <c r="M29" s="434">
        <v>0.59076074999999995</v>
      </c>
      <c r="N29" s="285">
        <f t="shared" si="0"/>
        <v>0.21801868968173602</v>
      </c>
      <c r="O29" s="386" t="s">
        <v>138</v>
      </c>
      <c r="P29" s="434">
        <v>23.419464420000001</v>
      </c>
      <c r="Q29" s="431">
        <f t="shared" si="1"/>
        <v>1.0524434011366033</v>
      </c>
    </row>
    <row r="30" spans="1:29" x14ac:dyDescent="0.25">
      <c r="B30" s="1"/>
      <c r="D30" s="121"/>
      <c r="E30" s="1"/>
      <c r="J30" s="329"/>
      <c r="L30" s="380" t="s">
        <v>138</v>
      </c>
      <c r="M30" s="434">
        <v>0.49538404999999996</v>
      </c>
      <c r="N30" s="285">
        <f t="shared" si="0"/>
        <v>0.18282017122876157</v>
      </c>
      <c r="O30" s="386" t="s">
        <v>165</v>
      </c>
      <c r="P30" s="434">
        <v>23.267636670000002</v>
      </c>
      <c r="Q30" s="431">
        <f t="shared" si="1"/>
        <v>1.045620439230589</v>
      </c>
    </row>
    <row r="31" spans="1:29" x14ac:dyDescent="0.25">
      <c r="B31" s="1"/>
      <c r="D31" s="121"/>
      <c r="E31" s="1"/>
      <c r="J31" s="329"/>
      <c r="L31" s="380" t="s">
        <v>202</v>
      </c>
      <c r="M31" s="434">
        <v>0.48957568000000001</v>
      </c>
      <c r="N31" s="285">
        <f t="shared" si="0"/>
        <v>0.18067660766840876</v>
      </c>
      <c r="O31" s="386" t="s">
        <v>15</v>
      </c>
      <c r="P31" s="434">
        <v>23.09564731</v>
      </c>
      <c r="Q31" s="431">
        <f t="shared" si="1"/>
        <v>1.0378914380992426</v>
      </c>
    </row>
    <row r="32" spans="1:29" x14ac:dyDescent="0.25">
      <c r="A32" s="1"/>
      <c r="B32" s="1"/>
      <c r="D32" s="1"/>
      <c r="E32" s="1"/>
      <c r="J32" s="329"/>
      <c r="L32" s="380" t="s">
        <v>113</v>
      </c>
      <c r="M32" s="434">
        <v>0.47311500000000001</v>
      </c>
      <c r="N32" s="285">
        <f t="shared" si="0"/>
        <v>0.17460183732378046</v>
      </c>
      <c r="O32" s="386" t="s">
        <v>151</v>
      </c>
      <c r="P32" s="434">
        <v>22.483582690000002</v>
      </c>
      <c r="Q32" s="431">
        <f t="shared" si="1"/>
        <v>1.0103859683397345</v>
      </c>
    </row>
    <row r="33" spans="1:17" x14ac:dyDescent="0.25">
      <c r="A33" s="1"/>
      <c r="B33" s="1"/>
      <c r="D33" s="1"/>
      <c r="E33" s="1"/>
      <c r="J33" s="329"/>
      <c r="L33" s="380" t="s">
        <v>163</v>
      </c>
      <c r="M33" s="434">
        <v>0.39773399999999998</v>
      </c>
      <c r="N33" s="285">
        <f t="shared" si="0"/>
        <v>0.14678267898108599</v>
      </c>
      <c r="O33" s="386" t="s">
        <v>30</v>
      </c>
      <c r="P33" s="434">
        <v>22.096985170000004</v>
      </c>
      <c r="Q33" s="431">
        <f t="shared" si="1"/>
        <v>0.99301272694005893</v>
      </c>
    </row>
    <row r="34" spans="1:17" x14ac:dyDescent="0.25">
      <c r="A34" s="1"/>
      <c r="B34" s="1"/>
      <c r="D34" s="1"/>
      <c r="E34" s="1"/>
      <c r="J34" s="329"/>
      <c r="L34" s="380" t="s">
        <v>178</v>
      </c>
      <c r="M34" s="434">
        <v>0.34967784999999996</v>
      </c>
      <c r="N34" s="285">
        <f t="shared" si="0"/>
        <v>0.12904768413901335</v>
      </c>
      <c r="O34" s="386" t="s">
        <v>198</v>
      </c>
      <c r="P34" s="434">
        <v>21.023484910000001</v>
      </c>
      <c r="Q34" s="431">
        <f t="shared" si="1"/>
        <v>0.94477087800219017</v>
      </c>
    </row>
    <row r="35" spans="1:17" x14ac:dyDescent="0.25">
      <c r="A35" s="1"/>
      <c r="B35" s="1"/>
      <c r="D35" s="1"/>
      <c r="E35" s="1"/>
      <c r="J35" s="329"/>
      <c r="L35" s="380" t="s">
        <v>106</v>
      </c>
      <c r="M35" s="434">
        <v>0.30578</v>
      </c>
      <c r="N35" s="285">
        <f t="shared" si="0"/>
        <v>0.11284729889533326</v>
      </c>
      <c r="O35" s="386" t="s">
        <v>191</v>
      </c>
      <c r="P35" s="434">
        <v>19.756689300000001</v>
      </c>
      <c r="Q35" s="431">
        <f t="shared" si="1"/>
        <v>0.88784256160590447</v>
      </c>
    </row>
    <row r="36" spans="1:17" x14ac:dyDescent="0.25">
      <c r="B36" s="1"/>
      <c r="D36" s="1"/>
      <c r="E36" s="1"/>
      <c r="J36" s="329"/>
      <c r="L36" s="380" t="s">
        <v>45</v>
      </c>
      <c r="M36" s="434">
        <v>0.29754179999999997</v>
      </c>
      <c r="N36" s="285">
        <f t="shared" si="0"/>
        <v>0.10980701301084264</v>
      </c>
      <c r="O36" s="386" t="s">
        <v>158</v>
      </c>
      <c r="P36" s="434">
        <v>19.418623739999902</v>
      </c>
      <c r="Q36" s="431">
        <f t="shared" si="1"/>
        <v>0.872650289853105</v>
      </c>
    </row>
    <row r="37" spans="1:17" x14ac:dyDescent="0.25">
      <c r="B37" s="1"/>
      <c r="D37" s="1"/>
      <c r="E37" s="1"/>
      <c r="J37" s="329"/>
      <c r="L37" s="380" t="s">
        <v>79</v>
      </c>
      <c r="M37" s="434">
        <v>0.27298</v>
      </c>
      <c r="N37" s="285">
        <f t="shared" si="0"/>
        <v>0.10074254579255698</v>
      </c>
      <c r="O37" s="386" t="s">
        <v>166</v>
      </c>
      <c r="P37" s="434">
        <v>19.15197496</v>
      </c>
      <c r="Q37" s="431">
        <f t="shared" si="1"/>
        <v>0.86066740485201321</v>
      </c>
    </row>
    <row r="38" spans="1:17" x14ac:dyDescent="0.25">
      <c r="B38" s="1"/>
      <c r="D38" s="1"/>
      <c r="E38" s="1"/>
      <c r="J38" s="329"/>
      <c r="L38" s="380" t="s">
        <v>142</v>
      </c>
      <c r="M38" s="434">
        <v>0.22341800000000001</v>
      </c>
      <c r="N38" s="285">
        <f t="shared" si="0"/>
        <v>8.2451820997441194E-2</v>
      </c>
      <c r="O38" s="386" t="s">
        <v>200</v>
      </c>
      <c r="P38" s="434">
        <v>19.079570309999998</v>
      </c>
      <c r="Q38" s="431">
        <f t="shared" si="1"/>
        <v>0.85741362437533275</v>
      </c>
    </row>
    <row r="39" spans="1:17" x14ac:dyDescent="0.25">
      <c r="B39" s="1"/>
      <c r="D39" s="1"/>
      <c r="E39" s="1"/>
      <c r="J39" s="329"/>
      <c r="L39" s="380" t="s">
        <v>117</v>
      </c>
      <c r="M39" s="434">
        <v>0.22186800000000001</v>
      </c>
      <c r="N39" s="285">
        <f t="shared" si="0"/>
        <v>8.1879797603864865E-2</v>
      </c>
      <c r="O39" s="386" t="s">
        <v>94</v>
      </c>
      <c r="P39" s="434">
        <v>18.846875730000001</v>
      </c>
      <c r="Q39" s="431">
        <f t="shared" si="1"/>
        <v>0.84695660149857954</v>
      </c>
    </row>
    <row r="40" spans="1:17" x14ac:dyDescent="0.25">
      <c r="B40" s="1"/>
      <c r="D40" s="1"/>
      <c r="E40" s="1"/>
      <c r="J40" s="329"/>
      <c r="L40" s="380" t="s">
        <v>12</v>
      </c>
      <c r="M40" s="434">
        <v>0.20258799999999999</v>
      </c>
      <c r="N40" s="285">
        <f t="shared" si="0"/>
        <v>7.4764564682476858E-2</v>
      </c>
      <c r="O40" s="386" t="s">
        <v>101</v>
      </c>
      <c r="P40" s="434">
        <v>18.755767160000001</v>
      </c>
      <c r="Q40" s="431">
        <f t="shared" si="1"/>
        <v>0.84286228868408131</v>
      </c>
    </row>
    <row r="41" spans="1:17" x14ac:dyDescent="0.25">
      <c r="B41" s="1"/>
      <c r="D41" s="1"/>
      <c r="E41" s="1"/>
      <c r="J41" s="329"/>
      <c r="L41" s="380" t="s">
        <v>164</v>
      </c>
      <c r="M41" s="434">
        <v>0.20206099999999999</v>
      </c>
      <c r="N41" s="285">
        <f t="shared" si="0"/>
        <v>7.4570076728660895E-2</v>
      </c>
      <c r="O41" s="386" t="s">
        <v>113</v>
      </c>
      <c r="P41" s="434">
        <v>18.18767935</v>
      </c>
      <c r="Q41" s="431">
        <f t="shared" si="1"/>
        <v>0.81733308544619421</v>
      </c>
    </row>
    <row r="42" spans="1:17" x14ac:dyDescent="0.25">
      <c r="B42" s="1"/>
      <c r="D42" s="1"/>
      <c r="E42" s="1"/>
      <c r="J42" s="329"/>
      <c r="L42" s="380" t="s">
        <v>104</v>
      </c>
      <c r="M42" s="434">
        <v>0.18571570999999998</v>
      </c>
      <c r="N42" s="285">
        <f t="shared" si="0"/>
        <v>6.8537890757829248E-2</v>
      </c>
      <c r="O42" s="386" t="s">
        <v>105</v>
      </c>
      <c r="P42" s="434">
        <v>17.743890969999999</v>
      </c>
      <c r="Q42" s="431">
        <f t="shared" si="1"/>
        <v>0.79738975353834585</v>
      </c>
    </row>
    <row r="43" spans="1:17" x14ac:dyDescent="0.25">
      <c r="J43" s="329"/>
      <c r="L43" s="380" t="s">
        <v>156</v>
      </c>
      <c r="M43" s="434">
        <v>0.17703414000000001</v>
      </c>
      <c r="N43" s="285">
        <f t="shared" si="0"/>
        <v>6.5333980349461293E-2</v>
      </c>
      <c r="O43" s="386" t="s">
        <v>173</v>
      </c>
      <c r="P43" s="434">
        <v>16.675068539999998</v>
      </c>
      <c r="Q43" s="431">
        <f t="shared" si="1"/>
        <v>0.74935812082177278</v>
      </c>
    </row>
    <row r="44" spans="1:17" x14ac:dyDescent="0.25">
      <c r="J44" s="329"/>
      <c r="L44" s="380" t="s">
        <v>158</v>
      </c>
      <c r="M44" s="434">
        <v>0.17184382999999998</v>
      </c>
      <c r="N44" s="285">
        <f t="shared" si="0"/>
        <v>6.3418510194678632E-2</v>
      </c>
      <c r="O44" s="386" t="s">
        <v>58</v>
      </c>
      <c r="P44" s="434">
        <v>16.064215609999998</v>
      </c>
      <c r="Q44" s="431">
        <f t="shared" si="1"/>
        <v>0.72190710299685457</v>
      </c>
    </row>
    <row r="45" spans="1:17" x14ac:dyDescent="0.25">
      <c r="J45" s="329"/>
      <c r="L45" s="380" t="s">
        <v>40</v>
      </c>
      <c r="M45" s="434">
        <v>0.167322</v>
      </c>
      <c r="N45" s="285">
        <f t="shared" si="0"/>
        <v>6.1749740812888185E-2</v>
      </c>
      <c r="O45" s="386" t="s">
        <v>24</v>
      </c>
      <c r="P45" s="434">
        <v>15.661180269999999</v>
      </c>
      <c r="Q45" s="431">
        <f t="shared" si="1"/>
        <v>0.70379516514888196</v>
      </c>
    </row>
    <row r="46" spans="1:17" x14ac:dyDescent="0.25">
      <c r="J46" s="329"/>
      <c r="L46" s="380" t="s">
        <v>162</v>
      </c>
      <c r="M46" s="434">
        <v>0.15912007</v>
      </c>
      <c r="N46" s="285">
        <f t="shared" si="0"/>
        <v>5.8722840275807285E-2</v>
      </c>
      <c r="O46" s="386" t="s">
        <v>127</v>
      </c>
      <c r="P46" s="434">
        <v>15.4319314</v>
      </c>
      <c r="Q46" s="431">
        <f t="shared" si="1"/>
        <v>0.69349298845847562</v>
      </c>
    </row>
    <row r="47" spans="1:17" x14ac:dyDescent="0.25">
      <c r="J47" s="329"/>
      <c r="L47" s="380" t="s">
        <v>166</v>
      </c>
      <c r="M47" s="434">
        <v>0.145153</v>
      </c>
      <c r="N47" s="285">
        <f t="shared" si="0"/>
        <v>5.356833009534407E-2</v>
      </c>
      <c r="O47" s="386" t="s">
        <v>182</v>
      </c>
      <c r="P47" s="434">
        <v>15.07766743</v>
      </c>
      <c r="Q47" s="431">
        <f t="shared" si="1"/>
        <v>0.67757277906339863</v>
      </c>
    </row>
    <row r="48" spans="1:17" x14ac:dyDescent="0.25">
      <c r="J48" s="329"/>
      <c r="L48" s="380" t="s">
        <v>211</v>
      </c>
      <c r="M48" s="434">
        <v>0.11240856</v>
      </c>
      <c r="N48" s="285">
        <f t="shared" si="0"/>
        <v>4.1484081263372365E-2</v>
      </c>
      <c r="O48" s="386" t="s">
        <v>125</v>
      </c>
      <c r="P48" s="434">
        <v>14.923840519999999</v>
      </c>
      <c r="Q48" s="431">
        <f t="shared" si="1"/>
        <v>0.67065997723995141</v>
      </c>
    </row>
    <row r="49" spans="10:17" x14ac:dyDescent="0.25">
      <c r="J49" s="329"/>
      <c r="L49" s="380" t="s">
        <v>102</v>
      </c>
      <c r="M49" s="434">
        <v>0.10212164</v>
      </c>
      <c r="N49" s="285">
        <f t="shared" si="0"/>
        <v>3.7687720690567139E-2</v>
      </c>
      <c r="O49" s="386" t="s">
        <v>79</v>
      </c>
      <c r="P49" s="434">
        <v>14.23587605</v>
      </c>
      <c r="Q49" s="431">
        <f t="shared" si="1"/>
        <v>0.63974365679456946</v>
      </c>
    </row>
    <row r="50" spans="10:17" x14ac:dyDescent="0.25">
      <c r="J50" s="329"/>
      <c r="L50" s="380" t="s">
        <v>207</v>
      </c>
      <c r="M50" s="434">
        <v>0.10127</v>
      </c>
      <c r="N50" s="285">
        <f t="shared" si="0"/>
        <v>3.7373425204821759E-2</v>
      </c>
      <c r="O50" s="386" t="s">
        <v>157</v>
      </c>
      <c r="P50" s="434">
        <v>13.9919736</v>
      </c>
      <c r="Q50" s="431">
        <f t="shared" si="1"/>
        <v>0.62878296531930522</v>
      </c>
    </row>
    <row r="51" spans="10:17" x14ac:dyDescent="0.25">
      <c r="J51" s="329"/>
      <c r="L51" s="380" t="s">
        <v>171</v>
      </c>
      <c r="M51" s="434">
        <v>9.7358500000000001E-2</v>
      </c>
      <c r="N51" s="285">
        <f t="shared" si="0"/>
        <v>3.5929896492580625E-2</v>
      </c>
      <c r="O51" s="386" t="s">
        <v>22</v>
      </c>
      <c r="P51" s="434">
        <v>13.538151060000001</v>
      </c>
      <c r="Q51" s="431">
        <f t="shared" si="1"/>
        <v>0.6083887099706573</v>
      </c>
    </row>
    <row r="52" spans="10:17" x14ac:dyDescent="0.25">
      <c r="J52" s="329"/>
      <c r="L52" s="380" t="s">
        <v>118</v>
      </c>
      <c r="M52" s="434">
        <v>8.4738999999999995E-2</v>
      </c>
      <c r="N52" s="285">
        <f t="shared" si="0"/>
        <v>3.1272703450492656E-2</v>
      </c>
      <c r="O52" s="386" t="s">
        <v>162</v>
      </c>
      <c r="P52" s="434">
        <v>13.38832212</v>
      </c>
      <c r="Q52" s="431">
        <f t="shared" si="1"/>
        <v>0.60165557225348432</v>
      </c>
    </row>
    <row r="53" spans="10:17" x14ac:dyDescent="0.25">
      <c r="J53" s="329"/>
      <c r="L53" s="380" t="s">
        <v>160</v>
      </c>
      <c r="M53" s="434">
        <v>7.1765460000000003E-2</v>
      </c>
      <c r="N53" s="285">
        <f t="shared" si="0"/>
        <v>2.6484852884364848E-2</v>
      </c>
      <c r="O53" s="386" t="s">
        <v>193</v>
      </c>
      <c r="P53" s="434">
        <v>13.01732193</v>
      </c>
      <c r="Q53" s="431">
        <f t="shared" si="1"/>
        <v>0.5849832566623353</v>
      </c>
    </row>
    <row r="54" spans="10:17" x14ac:dyDescent="0.25">
      <c r="J54" s="329"/>
      <c r="L54" s="380" t="s">
        <v>215</v>
      </c>
      <c r="M54" s="434">
        <v>7.1679999999999994E-2</v>
      </c>
      <c r="N54" s="285">
        <f t="shared" si="0"/>
        <v>2.6453314097774499E-2</v>
      </c>
      <c r="O54" s="386" t="s">
        <v>194</v>
      </c>
      <c r="P54" s="434">
        <v>12.654068990000001</v>
      </c>
      <c r="Q54" s="431">
        <f t="shared" si="1"/>
        <v>0.56865909344534959</v>
      </c>
    </row>
    <row r="55" spans="10:17" x14ac:dyDescent="0.25">
      <c r="J55" s="329"/>
      <c r="L55" s="380" t="s">
        <v>165</v>
      </c>
      <c r="M55" s="434">
        <v>6.7193000000000003E-2</v>
      </c>
      <c r="N55" s="285">
        <f t="shared" si="0"/>
        <v>2.4797398635208738E-2</v>
      </c>
      <c r="O55" s="386" t="s">
        <v>18</v>
      </c>
      <c r="P55" s="434">
        <v>12.58537538</v>
      </c>
      <c r="Q55" s="431">
        <f t="shared" si="1"/>
        <v>0.56557208277558335</v>
      </c>
    </row>
    <row r="56" spans="10:17" x14ac:dyDescent="0.25">
      <c r="J56" s="329"/>
      <c r="L56" s="380" t="s">
        <v>127</v>
      </c>
      <c r="M56" s="434">
        <v>6.61162E-2</v>
      </c>
      <c r="N56" s="285">
        <f t="shared" si="0"/>
        <v>2.4400008447981007E-2</v>
      </c>
      <c r="O56" s="386" t="s">
        <v>16</v>
      </c>
      <c r="P56" s="434">
        <v>12.570790199999999</v>
      </c>
      <c r="Q56" s="431">
        <f t="shared" si="1"/>
        <v>0.56491664180690426</v>
      </c>
    </row>
    <row r="57" spans="10:17" x14ac:dyDescent="0.25">
      <c r="J57" s="329"/>
      <c r="L57" s="380" t="s">
        <v>189</v>
      </c>
      <c r="M57" s="434">
        <v>6.3710000000000003E-2</v>
      </c>
      <c r="N57" s="285">
        <f t="shared" si="0"/>
        <v>2.3512006712740147E-2</v>
      </c>
      <c r="O57" s="386" t="s">
        <v>214</v>
      </c>
      <c r="P57" s="434">
        <v>12.2776034</v>
      </c>
      <c r="Q57" s="431">
        <f t="shared" si="1"/>
        <v>0.55174116915617843</v>
      </c>
    </row>
    <row r="58" spans="10:17" x14ac:dyDescent="0.25">
      <c r="J58" s="329"/>
      <c r="L58" s="380" t="s">
        <v>181</v>
      </c>
      <c r="M58" s="434">
        <v>6.0262999999999997E-2</v>
      </c>
      <c r="N58" s="285">
        <f t="shared" si="0"/>
        <v>2.2239900494896551E-2</v>
      </c>
      <c r="O58" s="386" t="s">
        <v>202</v>
      </c>
      <c r="P58" s="434">
        <v>11.74134769</v>
      </c>
      <c r="Q58" s="431">
        <f t="shared" si="1"/>
        <v>0.52764246334506903</v>
      </c>
    </row>
    <row r="59" spans="10:17" x14ac:dyDescent="0.25">
      <c r="J59" s="329"/>
      <c r="L59" s="380" t="s">
        <v>10</v>
      </c>
      <c r="M59" s="434">
        <v>5.8092499999999998E-2</v>
      </c>
      <c r="N59" s="285">
        <f t="shared" si="0"/>
        <v>2.1438883220214359E-2</v>
      </c>
      <c r="O59" s="386" t="s">
        <v>135</v>
      </c>
      <c r="P59" s="434">
        <v>11.22919433</v>
      </c>
      <c r="Q59" s="431">
        <f t="shared" si="1"/>
        <v>0.50462688901615194</v>
      </c>
    </row>
    <row r="60" spans="10:17" x14ac:dyDescent="0.25">
      <c r="J60" s="329"/>
      <c r="L60" s="380" t="s">
        <v>121</v>
      </c>
      <c r="M60" s="434">
        <v>4.9599999999999998E-2</v>
      </c>
      <c r="N60" s="285">
        <f t="shared" si="0"/>
        <v>1.8304748594442179E-2</v>
      </c>
      <c r="O60" s="386" t="s">
        <v>159</v>
      </c>
      <c r="P60" s="434">
        <v>10.353398990000001</v>
      </c>
      <c r="Q60" s="431">
        <f t="shared" si="1"/>
        <v>0.46526966846664852</v>
      </c>
    </row>
    <row r="61" spans="10:17" x14ac:dyDescent="0.25">
      <c r="J61" s="329"/>
      <c r="L61" s="380" t="s">
        <v>173</v>
      </c>
      <c r="M61" s="434">
        <v>4.4330000000000001E-2</v>
      </c>
      <c r="N61" s="285">
        <f t="shared" si="0"/>
        <v>1.6359869056282696E-2</v>
      </c>
      <c r="O61" s="386" t="s">
        <v>31</v>
      </c>
      <c r="P61" s="434">
        <v>10.35096645</v>
      </c>
      <c r="Q61" s="431">
        <f t="shared" si="1"/>
        <v>0.46516035295775865</v>
      </c>
    </row>
    <row r="62" spans="10:17" x14ac:dyDescent="0.25">
      <c r="J62" s="329"/>
      <c r="L62" s="380" t="s">
        <v>195</v>
      </c>
      <c r="M62" s="434">
        <v>3.1803400000000003E-2</v>
      </c>
      <c r="N62" s="285">
        <f t="shared" si="0"/>
        <v>1.1736960513074242E-2</v>
      </c>
      <c r="O62" s="386" t="s">
        <v>17</v>
      </c>
      <c r="P62" s="434">
        <v>10.33329041</v>
      </c>
      <c r="Q62" s="431">
        <f t="shared" si="1"/>
        <v>0.46436601234763186</v>
      </c>
    </row>
    <row r="63" spans="10:17" x14ac:dyDescent="0.25">
      <c r="J63" s="329"/>
      <c r="L63" s="380" t="s">
        <v>76</v>
      </c>
      <c r="M63" s="434">
        <v>2.9645419999999999E-2</v>
      </c>
      <c r="N63" s="285">
        <f t="shared" si="0"/>
        <v>1.0940563711222743E-2</v>
      </c>
      <c r="O63" s="386" t="s">
        <v>207</v>
      </c>
      <c r="P63" s="434">
        <v>10.306799949999998</v>
      </c>
      <c r="Q63" s="431">
        <f t="shared" si="1"/>
        <v>0.46317556198890097</v>
      </c>
    </row>
    <row r="64" spans="10:17" x14ac:dyDescent="0.25">
      <c r="J64" s="329"/>
      <c r="L64" s="380" t="s">
        <v>149</v>
      </c>
      <c r="M64" s="434">
        <v>2.9642999999999999E-2</v>
      </c>
      <c r="N64" s="285">
        <f t="shared" si="0"/>
        <v>1.0939670616634062E-2</v>
      </c>
      <c r="O64" s="386" t="s">
        <v>39</v>
      </c>
      <c r="P64" s="434">
        <v>9.4159781999999996</v>
      </c>
      <c r="Q64" s="431">
        <f t="shared" si="1"/>
        <v>0.42314307210942231</v>
      </c>
    </row>
    <row r="65" spans="10:17" x14ac:dyDescent="0.25">
      <c r="J65" s="329"/>
      <c r="L65" s="380" t="s">
        <v>168</v>
      </c>
      <c r="M65" s="434">
        <v>2.5947999999999999E-2</v>
      </c>
      <c r="N65" s="285">
        <f t="shared" si="0"/>
        <v>9.5760406558182583E-3</v>
      </c>
      <c r="O65" s="386" t="s">
        <v>175</v>
      </c>
      <c r="P65" s="434">
        <v>9.3248097300000001</v>
      </c>
      <c r="Q65" s="431">
        <f t="shared" si="1"/>
        <v>0.41904606745882578</v>
      </c>
    </row>
    <row r="66" spans="10:17" x14ac:dyDescent="0.25">
      <c r="J66" s="329"/>
      <c r="L66" s="380" t="s">
        <v>355</v>
      </c>
      <c r="M66" s="434">
        <v>2.5000000000000001E-2</v>
      </c>
      <c r="N66" s="285">
        <f t="shared" si="0"/>
        <v>9.2261837673599696E-3</v>
      </c>
      <c r="O66" s="386" t="s">
        <v>133</v>
      </c>
      <c r="P66" s="434">
        <v>8.9483630600000001</v>
      </c>
      <c r="Q66" s="431">
        <f t="shared" si="1"/>
        <v>0.40212899341237551</v>
      </c>
    </row>
    <row r="67" spans="10:17" x14ac:dyDescent="0.25">
      <c r="J67" s="329"/>
      <c r="L67" s="380" t="s">
        <v>53</v>
      </c>
      <c r="M67" s="434">
        <v>2.259707E-2</v>
      </c>
      <c r="N67" s="285">
        <f t="shared" si="0"/>
        <v>8.3393888169558776E-3</v>
      </c>
      <c r="O67" s="386" t="s">
        <v>189</v>
      </c>
      <c r="P67" s="434">
        <v>8.8045534600000011</v>
      </c>
      <c r="Q67" s="431">
        <f t="shared" si="1"/>
        <v>0.39566635781039128</v>
      </c>
    </row>
    <row r="68" spans="10:17" x14ac:dyDescent="0.25">
      <c r="J68" s="329"/>
      <c r="L68" s="380" t="s">
        <v>151</v>
      </c>
      <c r="M68" s="434">
        <v>2.2367999999999999E-2</v>
      </c>
      <c r="N68" s="285">
        <f t="shared" ref="N68:N131" si="2">(M68/$M$224)*100</f>
        <v>8.2548511403323123E-3</v>
      </c>
      <c r="O68" s="386" t="s">
        <v>197</v>
      </c>
      <c r="P68" s="434">
        <v>8.7922163600000101</v>
      </c>
      <c r="Q68" s="431">
        <f t="shared" ref="Q68:Q131" si="3">(P68/$P$224)*100</f>
        <v>0.39511194293346247</v>
      </c>
    </row>
    <row r="69" spans="10:17" x14ac:dyDescent="0.25">
      <c r="J69" s="329"/>
      <c r="L69" s="380" t="s">
        <v>193</v>
      </c>
      <c r="M69" s="434">
        <v>1.8145999999999999E-2</v>
      </c>
      <c r="N69" s="285">
        <f t="shared" si="2"/>
        <v>6.6967332257005597E-3</v>
      </c>
      <c r="O69" s="386" t="s">
        <v>174</v>
      </c>
      <c r="P69" s="434">
        <v>8.23268394000001</v>
      </c>
      <c r="Q69" s="431">
        <f t="shared" si="3"/>
        <v>0.36996720893826063</v>
      </c>
    </row>
    <row r="70" spans="10:17" x14ac:dyDescent="0.25">
      <c r="J70" s="329"/>
      <c r="L70" s="380" t="s">
        <v>100</v>
      </c>
      <c r="M70" s="434">
        <v>1.809647E-2</v>
      </c>
      <c r="N70" s="285">
        <f t="shared" si="2"/>
        <v>6.6784543104206661E-3</v>
      </c>
      <c r="O70" s="386" t="s">
        <v>64</v>
      </c>
      <c r="P70" s="434">
        <v>8.1103676</v>
      </c>
      <c r="Q70" s="431">
        <f t="shared" si="3"/>
        <v>0.36447045535860761</v>
      </c>
    </row>
    <row r="71" spans="10:17" x14ac:dyDescent="0.25">
      <c r="J71" s="329"/>
      <c r="L71" s="380" t="s">
        <v>169</v>
      </c>
      <c r="M71" s="434">
        <v>1.4928E-2</v>
      </c>
      <c r="N71" s="285">
        <f t="shared" si="2"/>
        <v>5.5091388511659843E-3</v>
      </c>
      <c r="O71" s="386" t="s">
        <v>190</v>
      </c>
      <c r="P71" s="434">
        <v>8.1081795200000091</v>
      </c>
      <c r="Q71" s="431">
        <f t="shared" si="3"/>
        <v>0.36437212559683974</v>
      </c>
    </row>
    <row r="72" spans="10:17" x14ac:dyDescent="0.25">
      <c r="J72" s="329"/>
      <c r="L72" s="380" t="s">
        <v>67</v>
      </c>
      <c r="M72" s="434">
        <v>1.2500000000000001E-2</v>
      </c>
      <c r="N72" s="285">
        <f t="shared" si="2"/>
        <v>4.6130918836799848E-3</v>
      </c>
      <c r="O72" s="386" t="s">
        <v>102</v>
      </c>
      <c r="P72" s="434">
        <v>7.9387545700000004</v>
      </c>
      <c r="Q72" s="431">
        <f t="shared" si="3"/>
        <v>0.35675836605829397</v>
      </c>
    </row>
    <row r="73" spans="10:17" x14ac:dyDescent="0.25">
      <c r="J73" s="329"/>
      <c r="L73" s="380" t="s">
        <v>152</v>
      </c>
      <c r="M73" s="434">
        <v>1.0758999999999999E-2</v>
      </c>
      <c r="N73" s="285">
        <f t="shared" si="2"/>
        <v>3.9705804461210364E-3</v>
      </c>
      <c r="O73" s="386" t="s">
        <v>163</v>
      </c>
      <c r="P73" s="434">
        <v>7.6429924500000102</v>
      </c>
      <c r="Q73" s="431">
        <f t="shared" si="3"/>
        <v>0.34346716153209916</v>
      </c>
    </row>
    <row r="74" spans="10:17" x14ac:dyDescent="0.25">
      <c r="J74" s="329"/>
      <c r="L74" s="380" t="s">
        <v>200</v>
      </c>
      <c r="M74" s="434">
        <v>1.0508E-2</v>
      </c>
      <c r="N74" s="285">
        <f t="shared" si="2"/>
        <v>3.8779495610967423E-3</v>
      </c>
      <c r="O74" s="386" t="s">
        <v>134</v>
      </c>
      <c r="P74" s="434">
        <v>7.6281258699999999</v>
      </c>
      <c r="Q74" s="431">
        <f t="shared" si="3"/>
        <v>0.34279907477580607</v>
      </c>
    </row>
    <row r="75" spans="10:17" x14ac:dyDescent="0.25">
      <c r="J75" s="329"/>
      <c r="L75" s="380" t="s">
        <v>175</v>
      </c>
      <c r="M75" s="434">
        <v>0.01</v>
      </c>
      <c r="N75" s="285">
        <f t="shared" si="2"/>
        <v>3.6904735069439878E-3</v>
      </c>
      <c r="O75" s="386" t="s">
        <v>76</v>
      </c>
      <c r="P75" s="434">
        <v>7.4678649999999998</v>
      </c>
      <c r="Q75" s="431">
        <f t="shared" si="3"/>
        <v>0.33559713829822069</v>
      </c>
    </row>
    <row r="76" spans="10:17" x14ac:dyDescent="0.25">
      <c r="J76" s="329"/>
      <c r="L76" s="380" t="s">
        <v>159</v>
      </c>
      <c r="M76" s="434">
        <v>9.1599999999999997E-3</v>
      </c>
      <c r="N76" s="285">
        <f t="shared" si="2"/>
        <v>3.3804737323606926E-3</v>
      </c>
      <c r="O76" s="386" t="s">
        <v>26</v>
      </c>
      <c r="P76" s="434">
        <v>7.4245611699999996</v>
      </c>
      <c r="Q76" s="431">
        <f t="shared" si="3"/>
        <v>0.33365111471244985</v>
      </c>
    </row>
    <row r="77" spans="10:17" x14ac:dyDescent="0.25">
      <c r="J77" s="329"/>
      <c r="L77" s="380" t="s">
        <v>134</v>
      </c>
      <c r="M77" s="434">
        <v>7.8985600000000006E-3</v>
      </c>
      <c r="N77" s="285">
        <f t="shared" si="2"/>
        <v>2.9149426423007506E-3</v>
      </c>
      <c r="O77" s="386" t="s">
        <v>137</v>
      </c>
      <c r="P77" s="434">
        <v>7.4225191499999905</v>
      </c>
      <c r="Q77" s="431">
        <f t="shared" si="3"/>
        <v>0.33355934871663301</v>
      </c>
    </row>
    <row r="78" spans="10:17" x14ac:dyDescent="0.25">
      <c r="J78" s="329"/>
      <c r="L78" s="380" t="s">
        <v>155</v>
      </c>
      <c r="M78" s="434">
        <v>7.0000000000000001E-3</v>
      </c>
      <c r="N78" s="285">
        <f t="shared" si="2"/>
        <v>2.5833314548607913E-3</v>
      </c>
      <c r="O78" s="386" t="s">
        <v>144</v>
      </c>
      <c r="P78" s="434">
        <v>7.3077917900000005</v>
      </c>
      <c r="Q78" s="431">
        <f t="shared" si="3"/>
        <v>0.32840363504204101</v>
      </c>
    </row>
    <row r="79" spans="10:17" x14ac:dyDescent="0.25">
      <c r="J79" s="329"/>
      <c r="L79" s="380" t="s">
        <v>119</v>
      </c>
      <c r="M79" s="434">
        <v>6.4099999999999999E-3</v>
      </c>
      <c r="N79" s="285">
        <f t="shared" si="2"/>
        <v>2.3655935179510961E-3</v>
      </c>
      <c r="O79" s="386" t="s">
        <v>66</v>
      </c>
      <c r="P79" s="434">
        <v>7.2344398499999993</v>
      </c>
      <c r="Q79" s="431">
        <f t="shared" si="3"/>
        <v>0.32510728445822318</v>
      </c>
    </row>
    <row r="80" spans="10:17" x14ac:dyDescent="0.25">
      <c r="J80" s="329"/>
      <c r="L80" s="380" t="s">
        <v>29</v>
      </c>
      <c r="M80" s="434">
        <v>5.4679999999999998E-3</v>
      </c>
      <c r="N80" s="285">
        <f t="shared" si="2"/>
        <v>2.0179509135969725E-3</v>
      </c>
      <c r="O80" s="386" t="s">
        <v>351</v>
      </c>
      <c r="P80" s="434">
        <v>6.8762902199999996</v>
      </c>
      <c r="Q80" s="431">
        <f t="shared" si="3"/>
        <v>0.30901245803720906</v>
      </c>
    </row>
    <row r="81" spans="10:18" x14ac:dyDescent="0.25">
      <c r="J81" s="329"/>
      <c r="L81" s="380" t="s">
        <v>90</v>
      </c>
      <c r="M81" s="434">
        <v>5.3057499999999997E-3</v>
      </c>
      <c r="N81" s="285">
        <f t="shared" si="2"/>
        <v>1.9580729809468064E-3</v>
      </c>
      <c r="O81" s="386" t="s">
        <v>156</v>
      </c>
      <c r="P81" s="434">
        <v>6.7726888600000095</v>
      </c>
      <c r="Q81" s="431">
        <f t="shared" si="3"/>
        <v>0.30435673381886813</v>
      </c>
    </row>
    <row r="82" spans="10:18" x14ac:dyDescent="0.25">
      <c r="J82" s="329"/>
      <c r="L82" s="380" t="s">
        <v>135</v>
      </c>
      <c r="M82" s="434">
        <v>4.6299999999999996E-3</v>
      </c>
      <c r="N82" s="285">
        <f t="shared" si="2"/>
        <v>1.7086892337150662E-3</v>
      </c>
      <c r="O82" s="386" t="s">
        <v>131</v>
      </c>
      <c r="P82" s="434">
        <v>6.6490799300000001</v>
      </c>
      <c r="Q82" s="431">
        <f t="shared" si="3"/>
        <v>0.29880189275303365</v>
      </c>
    </row>
    <row r="83" spans="10:18" x14ac:dyDescent="0.25">
      <c r="J83" s="329"/>
      <c r="L83" s="380" t="s">
        <v>172</v>
      </c>
      <c r="M83" s="434">
        <v>4.1159999999999999E-3</v>
      </c>
      <c r="N83" s="285">
        <f t="shared" si="2"/>
        <v>1.5189988954581451E-3</v>
      </c>
      <c r="O83" s="386" t="s">
        <v>75</v>
      </c>
      <c r="P83" s="434">
        <v>6.4655722500000001</v>
      </c>
      <c r="Q83" s="431">
        <f t="shared" si="3"/>
        <v>0.29055527176246332</v>
      </c>
    </row>
    <row r="84" spans="10:18" x14ac:dyDescent="0.25">
      <c r="J84" s="329"/>
      <c r="L84" s="380" t="s">
        <v>137</v>
      </c>
      <c r="M84" s="434">
        <v>3.1549999999999998E-3</v>
      </c>
      <c r="N84" s="285">
        <f t="shared" si="2"/>
        <v>1.164344391440828E-3</v>
      </c>
      <c r="O84" s="386" t="s">
        <v>124</v>
      </c>
      <c r="P84" s="434">
        <v>6.4571832200000001</v>
      </c>
      <c r="Q84" s="431">
        <f t="shared" si="3"/>
        <v>0.29017827854404038</v>
      </c>
    </row>
    <row r="85" spans="10:18" x14ac:dyDescent="0.25">
      <c r="J85" s="329"/>
      <c r="L85" s="380" t="s">
        <v>191</v>
      </c>
      <c r="M85" s="434">
        <v>3.0000000000000001E-3</v>
      </c>
      <c r="N85" s="285">
        <f t="shared" si="2"/>
        <v>1.1071420520831965E-3</v>
      </c>
      <c r="O85" s="386" t="s">
        <v>142</v>
      </c>
      <c r="P85" s="434">
        <v>6.3898963000000002</v>
      </c>
      <c r="Q85" s="431">
        <f t="shared" si="3"/>
        <v>0.28715448288130391</v>
      </c>
    </row>
    <row r="86" spans="10:18" x14ac:dyDescent="0.25">
      <c r="J86" s="329"/>
      <c r="L86" s="380" t="s">
        <v>83</v>
      </c>
      <c r="M86" s="434">
        <v>2.9629999999999999E-3</v>
      </c>
      <c r="N86" s="285">
        <f t="shared" si="2"/>
        <v>1.0934873001075035E-3</v>
      </c>
      <c r="O86" s="386" t="s">
        <v>89</v>
      </c>
      <c r="P86" s="434">
        <v>6.2781483499999995</v>
      </c>
      <c r="Q86" s="431">
        <f t="shared" si="3"/>
        <v>0.28213266041521851</v>
      </c>
    </row>
    <row r="87" spans="10:18" x14ac:dyDescent="0.25">
      <c r="J87" s="329"/>
      <c r="L87" s="380" t="s">
        <v>161</v>
      </c>
      <c r="M87" s="434">
        <v>2.679E-3</v>
      </c>
      <c r="N87" s="285">
        <f t="shared" si="2"/>
        <v>9.8867785251029422E-4</v>
      </c>
      <c r="O87" s="386" t="s">
        <v>168</v>
      </c>
      <c r="P87" s="434">
        <v>6.2452279800000001</v>
      </c>
      <c r="Q87" s="431">
        <f t="shared" si="3"/>
        <v>0.28065325740462332</v>
      </c>
    </row>
    <row r="88" spans="10:18" x14ac:dyDescent="0.25">
      <c r="J88" s="329"/>
      <c r="L88" s="380" t="s">
        <v>82</v>
      </c>
      <c r="M88" s="434">
        <v>2.5000000000000001E-3</v>
      </c>
      <c r="N88" s="285">
        <f t="shared" si="2"/>
        <v>9.2261837673599694E-4</v>
      </c>
      <c r="O88" s="386" t="s">
        <v>29</v>
      </c>
      <c r="P88" s="434">
        <v>6.1123387600000001</v>
      </c>
      <c r="Q88" s="431">
        <f t="shared" si="3"/>
        <v>0.27468137093604328</v>
      </c>
    </row>
    <row r="89" spans="10:18" x14ac:dyDescent="0.25">
      <c r="J89" s="329"/>
      <c r="L89" s="380" t="s">
        <v>174</v>
      </c>
      <c r="M89" s="434">
        <v>2.4870000000000001E-3</v>
      </c>
      <c r="N89" s="285">
        <f t="shared" si="2"/>
        <v>9.1782076117696973E-4</v>
      </c>
      <c r="O89" s="386" t="s">
        <v>204</v>
      </c>
      <c r="P89" s="434">
        <v>5.5771296500000007</v>
      </c>
      <c r="Q89" s="431">
        <f t="shared" si="3"/>
        <v>0.25062969810757924</v>
      </c>
    </row>
    <row r="90" spans="10:18" x14ac:dyDescent="0.25">
      <c r="J90" s="329"/>
      <c r="L90" s="380" t="s">
        <v>167</v>
      </c>
      <c r="M90" s="434">
        <v>2.4369999999999999E-3</v>
      </c>
      <c r="N90" s="285">
        <f t="shared" si="2"/>
        <v>8.9936839364224976E-4</v>
      </c>
      <c r="O90" s="386" t="s">
        <v>196</v>
      </c>
      <c r="P90" s="434">
        <v>5.5362235100000099</v>
      </c>
      <c r="Q90" s="431">
        <f t="shared" si="3"/>
        <v>0.24879142391236775</v>
      </c>
    </row>
    <row r="91" spans="10:18" x14ac:dyDescent="0.25">
      <c r="J91" s="329"/>
      <c r="L91" s="380" t="s">
        <v>176</v>
      </c>
      <c r="M91" s="434">
        <v>2.2000000000000001E-3</v>
      </c>
      <c r="N91" s="285">
        <f t="shared" si="2"/>
        <v>8.1190417152767727E-4</v>
      </c>
      <c r="O91" s="386" t="s">
        <v>384</v>
      </c>
      <c r="P91" s="434">
        <v>5.4370639699999996</v>
      </c>
      <c r="Q91" s="431">
        <f t="shared" si="3"/>
        <v>0.24433530990133895</v>
      </c>
    </row>
    <row r="92" spans="10:18" ht="13" x14ac:dyDescent="0.3">
      <c r="J92" s="329"/>
      <c r="L92" s="380" t="s">
        <v>89</v>
      </c>
      <c r="M92" s="434">
        <v>2.1310000000000001E-3</v>
      </c>
      <c r="N92" s="285">
        <f t="shared" si="2"/>
        <v>7.8643990432976385E-4</v>
      </c>
      <c r="O92" s="386" t="s">
        <v>112</v>
      </c>
      <c r="P92" s="434">
        <v>4.9843078100000096</v>
      </c>
      <c r="Q92" s="431">
        <f t="shared" si="3"/>
        <v>0.22398897642545421</v>
      </c>
      <c r="R92" s="3"/>
    </row>
    <row r="93" spans="10:18" x14ac:dyDescent="0.25">
      <c r="J93" s="329"/>
      <c r="L93" s="380" t="s">
        <v>198</v>
      </c>
      <c r="M93" s="434">
        <v>2.039E-3</v>
      </c>
      <c r="N93" s="285">
        <f t="shared" si="2"/>
        <v>7.5248754806587906E-4</v>
      </c>
      <c r="O93" s="386" t="s">
        <v>119</v>
      </c>
      <c r="P93" s="434">
        <v>4.9243910300000007</v>
      </c>
      <c r="Q93" s="431">
        <f t="shared" si="3"/>
        <v>0.22129638625355808</v>
      </c>
    </row>
    <row r="94" spans="10:18" x14ac:dyDescent="0.25">
      <c r="J94" s="329"/>
      <c r="L94" s="380" t="s">
        <v>184</v>
      </c>
      <c r="M94" s="434">
        <v>2E-3</v>
      </c>
      <c r="N94" s="285">
        <f t="shared" si="2"/>
        <v>7.3809470138879753E-4</v>
      </c>
      <c r="O94" s="386" t="s">
        <v>123</v>
      </c>
      <c r="P94" s="434">
        <v>4.5612656600000001</v>
      </c>
      <c r="Q94" s="431">
        <f t="shared" si="3"/>
        <v>0.20497795588350151</v>
      </c>
    </row>
    <row r="95" spans="10:18" x14ac:dyDescent="0.25">
      <c r="J95" s="329"/>
      <c r="L95" s="380" t="s">
        <v>57</v>
      </c>
      <c r="M95" s="434">
        <v>1.6000000000000001E-3</v>
      </c>
      <c r="N95" s="285">
        <f t="shared" si="2"/>
        <v>5.9047576111103805E-4</v>
      </c>
      <c r="O95" s="386" t="s">
        <v>209</v>
      </c>
      <c r="P95" s="434">
        <v>4.5051879800000005</v>
      </c>
      <c r="Q95" s="431">
        <f t="shared" si="3"/>
        <v>0.20245789038547718</v>
      </c>
    </row>
    <row r="96" spans="10:18" x14ac:dyDescent="0.25">
      <c r="J96" s="329"/>
      <c r="L96" s="380" t="s">
        <v>190</v>
      </c>
      <c r="M96" s="434">
        <v>1.433E-3</v>
      </c>
      <c r="N96" s="285">
        <f t="shared" si="2"/>
        <v>5.2884485354507348E-4</v>
      </c>
      <c r="O96" s="386" t="s">
        <v>92</v>
      </c>
      <c r="P96" s="434">
        <v>4.4815543700000005</v>
      </c>
      <c r="Q96" s="431">
        <f t="shared" si="3"/>
        <v>0.20139582353187763</v>
      </c>
    </row>
    <row r="97" spans="10:17" x14ac:dyDescent="0.25">
      <c r="J97" s="329"/>
      <c r="L97" s="380" t="s">
        <v>136</v>
      </c>
      <c r="M97" s="434">
        <v>1.39E-3</v>
      </c>
      <c r="N97" s="285">
        <f t="shared" si="2"/>
        <v>5.1297581746521427E-4</v>
      </c>
      <c r="O97" s="386" t="s">
        <v>147</v>
      </c>
      <c r="P97" s="434">
        <v>4.3928339000000003</v>
      </c>
      <c r="Q97" s="431">
        <f t="shared" si="3"/>
        <v>0.19740882914452956</v>
      </c>
    </row>
    <row r="98" spans="10:17" x14ac:dyDescent="0.25">
      <c r="J98" s="329"/>
      <c r="L98" s="380" t="s">
        <v>109</v>
      </c>
      <c r="M98" s="434">
        <v>1.2800000000000001E-3</v>
      </c>
      <c r="N98" s="285">
        <f t="shared" si="2"/>
        <v>4.7238060888883042E-4</v>
      </c>
      <c r="O98" s="386" t="s">
        <v>104</v>
      </c>
      <c r="P98" s="434">
        <v>4.2702279800000005</v>
      </c>
      <c r="Q98" s="431">
        <f t="shared" si="3"/>
        <v>0.19189906217760921</v>
      </c>
    </row>
    <row r="99" spans="10:17" x14ac:dyDescent="0.25">
      <c r="J99" s="329"/>
      <c r="L99" s="380" t="s">
        <v>204</v>
      </c>
      <c r="M99" s="434">
        <v>8.9999999999999998E-4</v>
      </c>
      <c r="N99" s="285">
        <f t="shared" si="2"/>
        <v>3.3214261562495884E-4</v>
      </c>
      <c r="O99" s="386" t="s">
        <v>126</v>
      </c>
      <c r="P99" s="434">
        <v>4.0967978599999997</v>
      </c>
      <c r="Q99" s="431">
        <f t="shared" si="3"/>
        <v>0.18410531497319171</v>
      </c>
    </row>
    <row r="100" spans="10:17" x14ac:dyDescent="0.25">
      <c r="J100" s="329"/>
      <c r="L100" s="380" t="s">
        <v>141</v>
      </c>
      <c r="M100" s="434">
        <v>7.5000000000000002E-4</v>
      </c>
      <c r="N100" s="285">
        <f t="shared" si="2"/>
        <v>2.7678551302079911E-4</v>
      </c>
      <c r="O100" s="386" t="s">
        <v>20</v>
      </c>
      <c r="P100" s="434">
        <v>4.0315599899999999</v>
      </c>
      <c r="Q100" s="431">
        <f t="shared" si="3"/>
        <v>0.18117360122626791</v>
      </c>
    </row>
    <row r="101" spans="10:17" x14ac:dyDescent="0.25">
      <c r="J101" s="329"/>
      <c r="L101" s="380" t="s">
        <v>209</v>
      </c>
      <c r="M101" s="434">
        <v>5.0000000000000001E-4</v>
      </c>
      <c r="N101" s="285">
        <f t="shared" si="2"/>
        <v>1.8452367534719938E-4</v>
      </c>
      <c r="O101" s="386" t="s">
        <v>90</v>
      </c>
      <c r="P101" s="434">
        <v>3.90043264</v>
      </c>
      <c r="Q101" s="431">
        <f t="shared" si="3"/>
        <v>0.17528089113943196</v>
      </c>
    </row>
    <row r="102" spans="10:17" x14ac:dyDescent="0.25">
      <c r="J102" s="329"/>
      <c r="L102" s="380" t="s">
        <v>84</v>
      </c>
      <c r="M102" s="434">
        <v>4.8299999999999998E-4</v>
      </c>
      <c r="N102" s="285">
        <f t="shared" si="2"/>
        <v>1.782498703853946E-4</v>
      </c>
      <c r="O102" s="386" t="s">
        <v>188</v>
      </c>
      <c r="P102" s="434">
        <v>3.5874847599999997</v>
      </c>
      <c r="Q102" s="431">
        <f t="shared" si="3"/>
        <v>0.16121737861416602</v>
      </c>
    </row>
    <row r="103" spans="10:17" x14ac:dyDescent="0.25">
      <c r="J103" s="329"/>
      <c r="L103" s="380" t="s">
        <v>192</v>
      </c>
      <c r="M103" s="434">
        <v>4.5399999999999998E-4</v>
      </c>
      <c r="N103" s="285">
        <f t="shared" si="2"/>
        <v>1.6754749721525702E-4</v>
      </c>
      <c r="O103" s="386" t="s">
        <v>210</v>
      </c>
      <c r="P103" s="434">
        <v>3.5642490299999898</v>
      </c>
      <c r="Q103" s="431">
        <f t="shared" si="3"/>
        <v>0.16017319202345054</v>
      </c>
    </row>
    <row r="104" spans="10:17" x14ac:dyDescent="0.25">
      <c r="J104" s="329"/>
      <c r="L104" s="380" t="s">
        <v>47</v>
      </c>
      <c r="M104" s="434">
        <v>2.7999999999999998E-4</v>
      </c>
      <c r="N104" s="285">
        <f t="shared" si="2"/>
        <v>1.0333325819443164E-4</v>
      </c>
      <c r="O104" s="386" t="s">
        <v>181</v>
      </c>
      <c r="P104" s="434">
        <v>3.5493423399999999</v>
      </c>
      <c r="Q104" s="431">
        <f t="shared" si="3"/>
        <v>0.15950330277056562</v>
      </c>
    </row>
    <row r="105" spans="10:17" x14ac:dyDescent="0.25">
      <c r="J105" s="329"/>
      <c r="L105" s="380" t="s">
        <v>95</v>
      </c>
      <c r="M105" s="434">
        <v>1.9000000000000001E-4</v>
      </c>
      <c r="N105" s="285">
        <f t="shared" si="2"/>
        <v>7.0118996631935761E-5</v>
      </c>
      <c r="O105" s="386" t="s">
        <v>63</v>
      </c>
      <c r="P105" s="434">
        <v>3.48297721</v>
      </c>
      <c r="Q105" s="431">
        <f t="shared" si="3"/>
        <v>0.15652093127472455</v>
      </c>
    </row>
    <row r="106" spans="10:17" x14ac:dyDescent="0.25">
      <c r="L106" s="380" t="s">
        <v>85</v>
      </c>
      <c r="M106" s="434">
        <v>1E-4</v>
      </c>
      <c r="N106" s="285">
        <f t="shared" si="2"/>
        <v>3.6904735069439878E-5</v>
      </c>
      <c r="O106" s="386" t="s">
        <v>38</v>
      </c>
      <c r="P106" s="434">
        <v>3.4680676699999999</v>
      </c>
      <c r="Q106" s="431">
        <f t="shared" si="3"/>
        <v>0.15585091394616507</v>
      </c>
    </row>
    <row r="107" spans="10:17" x14ac:dyDescent="0.25">
      <c r="L107" s="380" t="s">
        <v>96</v>
      </c>
      <c r="M107" s="434">
        <v>1E-4</v>
      </c>
      <c r="N107" s="285">
        <f t="shared" si="2"/>
        <v>3.6904735069439878E-5</v>
      </c>
      <c r="O107" s="386" t="s">
        <v>212</v>
      </c>
      <c r="P107" s="434">
        <v>3.4544219200000001</v>
      </c>
      <c r="Q107" s="431">
        <f t="shared" si="3"/>
        <v>0.15523768986539593</v>
      </c>
    </row>
    <row r="108" spans="10:17" x14ac:dyDescent="0.25">
      <c r="L108" s="380" t="s">
        <v>111</v>
      </c>
      <c r="M108" s="434">
        <v>9.6000000000000002E-5</v>
      </c>
      <c r="N108" s="285">
        <f t="shared" si="2"/>
        <v>3.542854566666228E-5</v>
      </c>
      <c r="O108" s="386" t="s">
        <v>95</v>
      </c>
      <c r="P108" s="434">
        <v>3.34883584</v>
      </c>
      <c r="Q108" s="431">
        <f t="shared" si="3"/>
        <v>0.15049277464637056</v>
      </c>
    </row>
    <row r="109" spans="10:17" x14ac:dyDescent="0.25">
      <c r="L109" s="380" t="s">
        <v>210</v>
      </c>
      <c r="M109" s="434">
        <v>3.9999999999999998E-6</v>
      </c>
      <c r="N109" s="285">
        <f t="shared" si="2"/>
        <v>1.4761894027775949E-6</v>
      </c>
      <c r="O109" s="386" t="s">
        <v>88</v>
      </c>
      <c r="P109" s="434">
        <v>3.3018222599999998</v>
      </c>
      <c r="Q109" s="431">
        <f t="shared" si="3"/>
        <v>0.14838003922478024</v>
      </c>
    </row>
    <row r="110" spans="10:17" x14ac:dyDescent="0.25">
      <c r="L110" s="380"/>
      <c r="M110" s="434"/>
      <c r="N110" s="285">
        <f t="shared" si="2"/>
        <v>0</v>
      </c>
      <c r="O110" s="386" t="s">
        <v>164</v>
      </c>
      <c r="P110" s="434">
        <v>3.1766692000000001</v>
      </c>
      <c r="Q110" s="431">
        <f t="shared" si="3"/>
        <v>0.14275580675870519</v>
      </c>
    </row>
    <row r="111" spans="10:17" x14ac:dyDescent="0.25">
      <c r="L111" s="380"/>
      <c r="M111" s="434"/>
      <c r="N111" s="285">
        <f t="shared" si="2"/>
        <v>0</v>
      </c>
      <c r="O111" s="386" t="s">
        <v>85</v>
      </c>
      <c r="P111" s="434">
        <v>3.1646300699999999</v>
      </c>
      <c r="Q111" s="431">
        <f t="shared" si="3"/>
        <v>0.14221478230585285</v>
      </c>
    </row>
    <row r="112" spans="10:17" x14ac:dyDescent="0.25">
      <c r="L112" s="380"/>
      <c r="M112" s="434"/>
      <c r="N112" s="285">
        <f t="shared" si="2"/>
        <v>0</v>
      </c>
      <c r="O112" s="386" t="s">
        <v>4</v>
      </c>
      <c r="P112" s="434">
        <v>3.0945275699999999</v>
      </c>
      <c r="Q112" s="431">
        <f t="shared" si="3"/>
        <v>0.13906445776362411</v>
      </c>
    </row>
    <row r="113" spans="12:17" x14ac:dyDescent="0.25">
      <c r="L113" s="380"/>
      <c r="M113" s="434"/>
      <c r="N113" s="285">
        <f t="shared" si="2"/>
        <v>0</v>
      </c>
      <c r="O113" s="386" t="s">
        <v>205</v>
      </c>
      <c r="P113" s="434">
        <v>2.96235062</v>
      </c>
      <c r="Q113" s="431">
        <f t="shared" si="3"/>
        <v>0.1331245798776437</v>
      </c>
    </row>
    <row r="114" spans="12:17" x14ac:dyDescent="0.25">
      <c r="L114" s="380"/>
      <c r="M114" s="434"/>
      <c r="N114" s="285">
        <f t="shared" si="2"/>
        <v>0</v>
      </c>
      <c r="O114" s="386" t="s">
        <v>117</v>
      </c>
      <c r="P114" s="434">
        <v>2.9492485400000001</v>
      </c>
      <c r="Q114" s="431">
        <f t="shared" si="3"/>
        <v>0.13253578769222601</v>
      </c>
    </row>
    <row r="115" spans="12:17" x14ac:dyDescent="0.25">
      <c r="L115" s="380"/>
      <c r="M115" s="434"/>
      <c r="N115" s="285">
        <f t="shared" si="2"/>
        <v>0</v>
      </c>
      <c r="O115" s="386" t="s">
        <v>19</v>
      </c>
      <c r="P115" s="434">
        <v>2.8653530800000002</v>
      </c>
      <c r="Q115" s="431">
        <f t="shared" si="3"/>
        <v>0.12876562362361835</v>
      </c>
    </row>
    <row r="116" spans="12:17" x14ac:dyDescent="0.25">
      <c r="L116" s="380"/>
      <c r="M116" s="434"/>
      <c r="N116" s="285">
        <f t="shared" si="2"/>
        <v>0</v>
      </c>
      <c r="O116" s="386" t="s">
        <v>2</v>
      </c>
      <c r="P116" s="434">
        <v>2.7158937599999997</v>
      </c>
      <c r="Q116" s="431">
        <f t="shared" si="3"/>
        <v>0.12204909619790856</v>
      </c>
    </row>
    <row r="117" spans="12:17" x14ac:dyDescent="0.25">
      <c r="L117" s="380"/>
      <c r="M117" s="434"/>
      <c r="N117" s="285">
        <f t="shared" si="2"/>
        <v>0</v>
      </c>
      <c r="O117" s="386" t="s">
        <v>161</v>
      </c>
      <c r="P117" s="434">
        <v>2.7108379999999999</v>
      </c>
      <c r="Q117" s="431">
        <f t="shared" si="3"/>
        <v>0.12182189624344736</v>
      </c>
    </row>
    <row r="118" spans="12:17" x14ac:dyDescent="0.25">
      <c r="L118" s="380"/>
      <c r="M118" s="434"/>
      <c r="N118" s="285">
        <f t="shared" si="2"/>
        <v>0</v>
      </c>
      <c r="O118" s="386" t="s">
        <v>357</v>
      </c>
      <c r="P118" s="434">
        <v>2.67203269</v>
      </c>
      <c r="Q118" s="431">
        <f t="shared" si="3"/>
        <v>0.12007803089682213</v>
      </c>
    </row>
    <row r="119" spans="12:17" x14ac:dyDescent="0.25">
      <c r="L119" s="380"/>
      <c r="M119" s="434"/>
      <c r="N119" s="285">
        <f t="shared" si="2"/>
        <v>0</v>
      </c>
      <c r="O119" s="386" t="s">
        <v>93</v>
      </c>
      <c r="P119" s="434">
        <v>2.63156787</v>
      </c>
      <c r="Q119" s="431">
        <f t="shared" si="3"/>
        <v>0.11825958910740139</v>
      </c>
    </row>
    <row r="120" spans="12:17" x14ac:dyDescent="0.25">
      <c r="L120" s="380"/>
      <c r="M120" s="434"/>
      <c r="N120" s="285">
        <f t="shared" si="2"/>
        <v>0</v>
      </c>
      <c r="O120" s="386" t="s">
        <v>172</v>
      </c>
      <c r="P120" s="434">
        <v>2.58827111</v>
      </c>
      <c r="Q120" s="431">
        <f t="shared" si="3"/>
        <v>0.11631388323918002</v>
      </c>
    </row>
    <row r="121" spans="12:17" x14ac:dyDescent="0.25">
      <c r="L121" s="380"/>
      <c r="M121" s="434"/>
      <c r="N121" s="285">
        <f t="shared" si="2"/>
        <v>0</v>
      </c>
      <c r="O121" s="386" t="s">
        <v>25</v>
      </c>
      <c r="P121" s="434">
        <v>2.5413691699999998</v>
      </c>
      <c r="Q121" s="431">
        <f t="shared" si="3"/>
        <v>0.11420616478890878</v>
      </c>
    </row>
    <row r="122" spans="12:17" x14ac:dyDescent="0.25">
      <c r="L122" s="380"/>
      <c r="M122" s="434"/>
      <c r="N122" s="285">
        <f t="shared" si="2"/>
        <v>0</v>
      </c>
      <c r="O122" s="386" t="s">
        <v>23</v>
      </c>
      <c r="P122" s="434">
        <v>2.5096991499999999</v>
      </c>
      <c r="Q122" s="431">
        <f t="shared" si="3"/>
        <v>0.11278295104818806</v>
      </c>
    </row>
    <row r="123" spans="12:17" x14ac:dyDescent="0.25">
      <c r="L123" s="380"/>
      <c r="M123" s="434"/>
      <c r="N123" s="285">
        <f t="shared" si="2"/>
        <v>0</v>
      </c>
      <c r="O123" s="386" t="s">
        <v>150</v>
      </c>
      <c r="P123" s="434">
        <v>2.36679146</v>
      </c>
      <c r="Q123" s="431">
        <f t="shared" si="3"/>
        <v>0.10636084622909862</v>
      </c>
    </row>
    <row r="124" spans="12:17" x14ac:dyDescent="0.25">
      <c r="L124" s="380"/>
      <c r="M124" s="434"/>
      <c r="N124" s="285">
        <f t="shared" si="2"/>
        <v>0</v>
      </c>
      <c r="O124" s="386" t="s">
        <v>132</v>
      </c>
      <c r="P124" s="434">
        <v>2.2720678599999999</v>
      </c>
      <c r="Q124" s="431">
        <f t="shared" si="3"/>
        <v>0.10210407818504516</v>
      </c>
    </row>
    <row r="125" spans="12:17" x14ac:dyDescent="0.25">
      <c r="L125" s="387"/>
      <c r="M125" s="437"/>
      <c r="N125" s="285">
        <f t="shared" si="2"/>
        <v>0</v>
      </c>
      <c r="O125" s="386" t="s">
        <v>118</v>
      </c>
      <c r="P125" s="434">
        <v>2.12874016</v>
      </c>
      <c r="Q125" s="431">
        <f t="shared" si="3"/>
        <v>9.5663098606696348E-2</v>
      </c>
    </row>
    <row r="126" spans="12:17" x14ac:dyDescent="0.25">
      <c r="L126" s="387"/>
      <c r="M126" s="437"/>
      <c r="N126" s="285">
        <f t="shared" si="2"/>
        <v>0</v>
      </c>
      <c r="O126" s="386" t="s">
        <v>100</v>
      </c>
      <c r="P126" s="434">
        <v>2.07136254</v>
      </c>
      <c r="Q126" s="431">
        <f t="shared" si="3"/>
        <v>9.3084615322067771E-2</v>
      </c>
    </row>
    <row r="127" spans="12:17" x14ac:dyDescent="0.25">
      <c r="L127" s="387"/>
      <c r="M127" s="437"/>
      <c r="N127" s="285">
        <f t="shared" si="2"/>
        <v>0</v>
      </c>
      <c r="O127" s="386" t="s">
        <v>82</v>
      </c>
      <c r="P127" s="434">
        <v>1.98041946</v>
      </c>
      <c r="Q127" s="431">
        <f t="shared" si="3"/>
        <v>8.8997739435047032E-2</v>
      </c>
    </row>
    <row r="128" spans="12:17" x14ac:dyDescent="0.25">
      <c r="L128" s="387"/>
      <c r="M128" s="437"/>
      <c r="N128" s="285">
        <f t="shared" si="2"/>
        <v>0</v>
      </c>
      <c r="O128" s="386" t="s">
        <v>74</v>
      </c>
      <c r="P128" s="434">
        <v>1.9543786000000001</v>
      </c>
      <c r="Q128" s="431">
        <f t="shared" si="3"/>
        <v>8.7827493575644844E-2</v>
      </c>
    </row>
    <row r="129" spans="12:17" x14ac:dyDescent="0.25">
      <c r="L129" s="387"/>
      <c r="M129" s="437"/>
      <c r="N129" s="285">
        <f t="shared" si="2"/>
        <v>0</v>
      </c>
      <c r="O129" s="386" t="s">
        <v>6</v>
      </c>
      <c r="P129" s="434">
        <v>1.90279095</v>
      </c>
      <c r="Q129" s="431">
        <f t="shared" si="3"/>
        <v>8.5509204786073767E-2</v>
      </c>
    </row>
    <row r="130" spans="12:17" x14ac:dyDescent="0.25">
      <c r="L130" s="387"/>
      <c r="M130" s="437"/>
      <c r="N130" s="285">
        <f t="shared" si="2"/>
        <v>0</v>
      </c>
      <c r="O130" s="386" t="s">
        <v>215</v>
      </c>
      <c r="P130" s="434">
        <v>1.8518504499999999</v>
      </c>
      <c r="Q130" s="431">
        <f t="shared" si="3"/>
        <v>8.321999816229568E-2</v>
      </c>
    </row>
    <row r="131" spans="12:17" x14ac:dyDescent="0.25">
      <c r="L131" s="387"/>
      <c r="M131" s="437"/>
      <c r="N131" s="285">
        <f t="shared" si="2"/>
        <v>0</v>
      </c>
      <c r="O131" s="386" t="s">
        <v>8</v>
      </c>
      <c r="P131" s="434">
        <v>1.8314721599999999</v>
      </c>
      <c r="Q131" s="431">
        <f t="shared" si="3"/>
        <v>8.2304221590623408E-2</v>
      </c>
    </row>
    <row r="132" spans="12:17" x14ac:dyDescent="0.25">
      <c r="L132" s="387"/>
      <c r="M132" s="437"/>
      <c r="N132" s="285">
        <f t="shared" ref="N132:N195" si="4">(M132/$M$224)*100</f>
        <v>0</v>
      </c>
      <c r="O132" s="386" t="s">
        <v>685</v>
      </c>
      <c r="P132" s="434">
        <v>1.8162108300000002</v>
      </c>
      <c r="Q132" s="431">
        <f t="shared" ref="Q132:Q195" si="5">(P132/$P$224)*100</f>
        <v>8.1618395229993618E-2</v>
      </c>
    </row>
    <row r="133" spans="12:17" x14ac:dyDescent="0.25">
      <c r="L133" s="387"/>
      <c r="M133" s="437"/>
      <c r="N133" s="285">
        <f t="shared" si="4"/>
        <v>0</v>
      </c>
      <c r="O133" s="386" t="s">
        <v>120</v>
      </c>
      <c r="P133" s="434">
        <v>1.78486671</v>
      </c>
      <c r="Q133" s="431">
        <f t="shared" si="5"/>
        <v>8.0209827054956162E-2</v>
      </c>
    </row>
    <row r="134" spans="12:17" x14ac:dyDescent="0.25">
      <c r="L134" s="387"/>
      <c r="M134" s="437"/>
      <c r="N134" s="285">
        <f t="shared" si="4"/>
        <v>0</v>
      </c>
      <c r="O134" s="386" t="s">
        <v>129</v>
      </c>
      <c r="P134" s="434">
        <v>1.74775697</v>
      </c>
      <c r="Q134" s="431">
        <f t="shared" si="5"/>
        <v>7.8542158645445406E-2</v>
      </c>
    </row>
    <row r="135" spans="12:17" x14ac:dyDescent="0.25">
      <c r="L135" s="387"/>
      <c r="M135" s="437"/>
      <c r="N135" s="285">
        <f t="shared" si="4"/>
        <v>0</v>
      </c>
      <c r="O135" s="386" t="s">
        <v>86</v>
      </c>
      <c r="P135" s="434">
        <v>1.7471663500000001</v>
      </c>
      <c r="Q135" s="431">
        <f t="shared" si="5"/>
        <v>7.8515616871883395E-2</v>
      </c>
    </row>
    <row r="136" spans="12:17" x14ac:dyDescent="0.25">
      <c r="L136" s="387"/>
      <c r="M136" s="437"/>
      <c r="N136" s="285">
        <f t="shared" si="4"/>
        <v>0</v>
      </c>
      <c r="O136" s="386" t="s">
        <v>36</v>
      </c>
      <c r="P136" s="434">
        <v>1.72454139</v>
      </c>
      <c r="Q136" s="431">
        <f t="shared" si="5"/>
        <v>7.7498877572215852E-2</v>
      </c>
    </row>
    <row r="137" spans="12:17" x14ac:dyDescent="0.25">
      <c r="L137" s="387"/>
      <c r="M137" s="437"/>
      <c r="N137" s="285">
        <f t="shared" si="4"/>
        <v>0</v>
      </c>
      <c r="O137" s="386" t="s">
        <v>155</v>
      </c>
      <c r="P137" s="434">
        <v>1.6485744099999999</v>
      </c>
      <c r="Q137" s="431">
        <f t="shared" si="5"/>
        <v>7.4085010142480826E-2</v>
      </c>
    </row>
    <row r="138" spans="12:17" x14ac:dyDescent="0.25">
      <c r="L138" s="387"/>
      <c r="M138" s="437"/>
      <c r="N138" s="285">
        <f t="shared" si="4"/>
        <v>0</v>
      </c>
      <c r="O138" s="386" t="s">
        <v>353</v>
      </c>
      <c r="P138" s="434">
        <v>1.6229571399999998</v>
      </c>
      <c r="Q138" s="431">
        <f t="shared" si="5"/>
        <v>7.2933799923360243E-2</v>
      </c>
    </row>
    <row r="139" spans="12:17" x14ac:dyDescent="0.25">
      <c r="L139" s="387"/>
      <c r="M139" s="437"/>
      <c r="N139" s="285">
        <f t="shared" si="4"/>
        <v>0</v>
      </c>
      <c r="O139" s="386" t="s">
        <v>369</v>
      </c>
      <c r="P139" s="434">
        <v>1.60875949</v>
      </c>
      <c r="Q139" s="431">
        <f t="shared" si="5"/>
        <v>7.2295774100643889E-2</v>
      </c>
    </row>
    <row r="140" spans="12:17" x14ac:dyDescent="0.25">
      <c r="L140" s="387"/>
      <c r="M140" s="437"/>
      <c r="N140" s="285">
        <f t="shared" si="4"/>
        <v>0</v>
      </c>
      <c r="O140" s="386" t="s">
        <v>122</v>
      </c>
      <c r="P140" s="434">
        <v>1.5369103100000001</v>
      </c>
      <c r="Q140" s="431">
        <f t="shared" si="5"/>
        <v>6.9066955797544724E-2</v>
      </c>
    </row>
    <row r="141" spans="12:17" x14ac:dyDescent="0.25">
      <c r="L141" s="387"/>
      <c r="M141" s="437"/>
      <c r="N141" s="285">
        <f t="shared" si="4"/>
        <v>0</v>
      </c>
      <c r="O141" s="386" t="s">
        <v>110</v>
      </c>
      <c r="P141" s="434">
        <v>1.4587592600000001</v>
      </c>
      <c r="Q141" s="431">
        <f t="shared" si="5"/>
        <v>6.5554938810761854E-2</v>
      </c>
    </row>
    <row r="142" spans="12:17" x14ac:dyDescent="0.25">
      <c r="L142" s="387"/>
      <c r="M142" s="437"/>
      <c r="N142" s="285">
        <f t="shared" si="4"/>
        <v>0</v>
      </c>
      <c r="O142" s="386" t="s">
        <v>187</v>
      </c>
      <c r="P142" s="434">
        <v>1.45411296</v>
      </c>
      <c r="Q142" s="431">
        <f t="shared" si="5"/>
        <v>6.5346139510871593E-2</v>
      </c>
    </row>
    <row r="143" spans="12:17" x14ac:dyDescent="0.25">
      <c r="L143" s="387"/>
      <c r="M143" s="437"/>
      <c r="N143" s="285">
        <f t="shared" si="4"/>
        <v>0</v>
      </c>
      <c r="O143" s="386" t="s">
        <v>143</v>
      </c>
      <c r="P143" s="434">
        <v>1.4285051899999999</v>
      </c>
      <c r="Q143" s="431">
        <f t="shared" si="5"/>
        <v>6.4195356210664759E-2</v>
      </c>
    </row>
    <row r="144" spans="12:17" x14ac:dyDescent="0.25">
      <c r="L144" s="387"/>
      <c r="M144" s="437"/>
      <c r="N144" s="285">
        <f t="shared" si="4"/>
        <v>0</v>
      </c>
      <c r="O144" s="386" t="s">
        <v>149</v>
      </c>
      <c r="P144" s="434">
        <v>1.4112080300000001</v>
      </c>
      <c r="Q144" s="431">
        <f t="shared" si="5"/>
        <v>6.3418042025594937E-2</v>
      </c>
    </row>
    <row r="145" spans="12:17" x14ac:dyDescent="0.25">
      <c r="L145" s="387"/>
      <c r="M145" s="437"/>
      <c r="N145" s="285">
        <f t="shared" si="4"/>
        <v>0</v>
      </c>
      <c r="O145" s="386" t="s">
        <v>114</v>
      </c>
      <c r="P145" s="434">
        <v>1.3715727099999999</v>
      </c>
      <c r="Q145" s="431">
        <f t="shared" si="5"/>
        <v>6.1636876998169533E-2</v>
      </c>
    </row>
    <row r="146" spans="12:17" x14ac:dyDescent="0.25">
      <c r="L146" s="387"/>
      <c r="M146" s="437"/>
      <c r="N146" s="285">
        <f t="shared" si="4"/>
        <v>0</v>
      </c>
      <c r="O146" s="386" t="s">
        <v>136</v>
      </c>
      <c r="P146" s="434">
        <v>1.2626479900000001</v>
      </c>
      <c r="Q146" s="431">
        <f t="shared" si="5"/>
        <v>5.6741927193649108E-2</v>
      </c>
    </row>
    <row r="147" spans="12:17" x14ac:dyDescent="0.25">
      <c r="L147" s="387"/>
      <c r="M147" s="437"/>
      <c r="N147" s="285">
        <f t="shared" si="4"/>
        <v>0</v>
      </c>
      <c r="O147" s="386" t="s">
        <v>116</v>
      </c>
      <c r="P147" s="434">
        <v>1.24760096</v>
      </c>
      <c r="Q147" s="431">
        <f t="shared" si="5"/>
        <v>5.6065731224936827E-2</v>
      </c>
    </row>
    <row r="148" spans="12:17" x14ac:dyDescent="0.25">
      <c r="L148" s="387"/>
      <c r="M148" s="437"/>
      <c r="N148" s="285">
        <f t="shared" si="4"/>
        <v>0</v>
      </c>
      <c r="O148" s="386" t="s">
        <v>184</v>
      </c>
      <c r="P148" s="434">
        <v>1.1924804599999999</v>
      </c>
      <c r="Q148" s="431">
        <f t="shared" si="5"/>
        <v>5.3588680279108659E-2</v>
      </c>
    </row>
    <row r="149" spans="12:17" x14ac:dyDescent="0.25">
      <c r="L149" s="387"/>
      <c r="M149" s="437"/>
      <c r="N149" s="285">
        <f t="shared" si="4"/>
        <v>0</v>
      </c>
      <c r="O149" s="386" t="s">
        <v>356</v>
      </c>
      <c r="P149" s="434">
        <v>1.14263531</v>
      </c>
      <c r="Q149" s="431">
        <f t="shared" si="5"/>
        <v>5.1348697406085983E-2</v>
      </c>
    </row>
    <row r="150" spans="12:17" x14ac:dyDescent="0.25">
      <c r="L150" s="387"/>
      <c r="M150" s="437"/>
      <c r="N150" s="285">
        <f t="shared" si="4"/>
        <v>0</v>
      </c>
      <c r="O150" s="386" t="s">
        <v>169</v>
      </c>
      <c r="P150" s="434">
        <v>0.99675849999999899</v>
      </c>
      <c r="Q150" s="431">
        <f t="shared" si="5"/>
        <v>4.4793163799081354E-2</v>
      </c>
    </row>
    <row r="151" spans="12:17" x14ac:dyDescent="0.25">
      <c r="L151" s="387"/>
      <c r="M151" s="437"/>
      <c r="N151" s="285">
        <f t="shared" si="4"/>
        <v>0</v>
      </c>
      <c r="O151" s="386" t="s">
        <v>71</v>
      </c>
      <c r="P151" s="434">
        <v>0.96464766000000002</v>
      </c>
      <c r="Q151" s="431">
        <f t="shared" si="5"/>
        <v>4.3350140121986E-2</v>
      </c>
    </row>
    <row r="152" spans="12:17" x14ac:dyDescent="0.25">
      <c r="L152" s="387"/>
      <c r="M152" s="437"/>
      <c r="N152" s="285">
        <f t="shared" si="4"/>
        <v>0</v>
      </c>
      <c r="O152" s="386" t="s">
        <v>0</v>
      </c>
      <c r="P152" s="434">
        <v>0.95881899999999998</v>
      </c>
      <c r="Q152" s="431">
        <f t="shared" si="5"/>
        <v>4.3088206943478716E-2</v>
      </c>
    </row>
    <row r="153" spans="12:17" x14ac:dyDescent="0.25">
      <c r="L153" s="387"/>
      <c r="M153" s="437"/>
      <c r="N153" s="285">
        <f t="shared" si="4"/>
        <v>0</v>
      </c>
      <c r="O153" s="386" t="s">
        <v>87</v>
      </c>
      <c r="P153" s="434">
        <v>0.8405244300000001</v>
      </c>
      <c r="Q153" s="431">
        <f t="shared" si="5"/>
        <v>3.7772187014326469E-2</v>
      </c>
    </row>
    <row r="154" spans="12:17" x14ac:dyDescent="0.25">
      <c r="L154" s="387"/>
      <c r="M154" s="437"/>
      <c r="N154" s="285">
        <f t="shared" si="4"/>
        <v>0</v>
      </c>
      <c r="O154" s="386" t="s">
        <v>213</v>
      </c>
      <c r="P154" s="434">
        <v>0.82607772999999995</v>
      </c>
      <c r="Q154" s="431">
        <f t="shared" si="5"/>
        <v>3.7122969175244894E-2</v>
      </c>
    </row>
    <row r="155" spans="12:17" x14ac:dyDescent="0.25">
      <c r="L155" s="387"/>
      <c r="M155" s="437"/>
      <c r="N155" s="285">
        <f t="shared" si="4"/>
        <v>0</v>
      </c>
      <c r="O155" s="386" t="s">
        <v>206</v>
      </c>
      <c r="P155" s="434">
        <v>0.76083142000000004</v>
      </c>
      <c r="Q155" s="431">
        <f t="shared" si="5"/>
        <v>3.4190876144570323E-2</v>
      </c>
    </row>
    <row r="156" spans="12:17" x14ac:dyDescent="0.25">
      <c r="L156" s="387"/>
      <c r="M156" s="437"/>
      <c r="N156" s="285">
        <f t="shared" si="4"/>
        <v>0</v>
      </c>
      <c r="O156" s="386" t="s">
        <v>383</v>
      </c>
      <c r="P156" s="434">
        <v>0.74184687999999999</v>
      </c>
      <c r="Q156" s="431">
        <f t="shared" si="5"/>
        <v>3.3337733071428517E-2</v>
      </c>
    </row>
    <row r="157" spans="12:17" x14ac:dyDescent="0.25">
      <c r="L157" s="387"/>
      <c r="M157" s="437"/>
      <c r="N157" s="285">
        <f t="shared" si="4"/>
        <v>0</v>
      </c>
      <c r="O157" s="386" t="s">
        <v>167</v>
      </c>
      <c r="P157" s="434">
        <v>0.68970260999999999</v>
      </c>
      <c r="Q157" s="431">
        <f t="shared" si="5"/>
        <v>3.0994430428618321E-2</v>
      </c>
    </row>
    <row r="158" spans="12:17" x14ac:dyDescent="0.25">
      <c r="L158" s="387"/>
      <c r="M158" s="437"/>
      <c r="N158" s="285">
        <f t="shared" si="4"/>
        <v>0</v>
      </c>
      <c r="O158" s="386" t="s">
        <v>349</v>
      </c>
      <c r="P158" s="434">
        <v>0.68633879000000009</v>
      </c>
      <c r="Q158" s="431">
        <f t="shared" si="5"/>
        <v>3.0843264283307675E-2</v>
      </c>
    </row>
    <row r="159" spans="12:17" x14ac:dyDescent="0.25">
      <c r="L159" s="387"/>
      <c r="M159" s="437"/>
      <c r="N159" s="285">
        <f t="shared" si="4"/>
        <v>0</v>
      </c>
      <c r="O159" s="386" t="s">
        <v>68</v>
      </c>
      <c r="P159" s="434">
        <v>0.67662543000000008</v>
      </c>
      <c r="Q159" s="431">
        <f t="shared" si="5"/>
        <v>3.0406757220142983E-2</v>
      </c>
    </row>
    <row r="160" spans="12:17" x14ac:dyDescent="0.25">
      <c r="L160" s="387"/>
      <c r="M160" s="437"/>
      <c r="N160" s="285">
        <f t="shared" si="4"/>
        <v>0</v>
      </c>
      <c r="O160" s="386" t="s">
        <v>375</v>
      </c>
      <c r="P160" s="434">
        <v>0.61794484999999999</v>
      </c>
      <c r="Q160" s="431">
        <f t="shared" si="5"/>
        <v>2.7769720433634411E-2</v>
      </c>
    </row>
    <row r="161" spans="12:17" x14ac:dyDescent="0.25">
      <c r="L161" s="387"/>
      <c r="M161" s="437"/>
      <c r="N161" s="285">
        <f t="shared" si="4"/>
        <v>0</v>
      </c>
      <c r="O161" s="386" t="s">
        <v>380</v>
      </c>
      <c r="P161" s="434">
        <v>0.51412963</v>
      </c>
      <c r="Q161" s="431">
        <f t="shared" si="5"/>
        <v>2.3104385596462045E-2</v>
      </c>
    </row>
    <row r="162" spans="12:17" x14ac:dyDescent="0.25">
      <c r="L162" s="387"/>
      <c r="M162" s="437"/>
      <c r="N162" s="285">
        <f t="shared" si="4"/>
        <v>0</v>
      </c>
      <c r="O162" s="386" t="s">
        <v>177</v>
      </c>
      <c r="P162" s="434">
        <v>0.47042475</v>
      </c>
      <c r="Q162" s="431">
        <f t="shared" si="5"/>
        <v>2.1140339291705983E-2</v>
      </c>
    </row>
    <row r="163" spans="12:17" x14ac:dyDescent="0.25">
      <c r="L163" s="387"/>
      <c r="M163" s="437"/>
      <c r="N163" s="285">
        <f t="shared" si="4"/>
        <v>0</v>
      </c>
      <c r="O163" s="386" t="s">
        <v>48</v>
      </c>
      <c r="P163" s="434">
        <v>0.46316185999999998</v>
      </c>
      <c r="Q163" s="431">
        <f t="shared" si="5"/>
        <v>2.0813953490707335E-2</v>
      </c>
    </row>
    <row r="164" spans="12:17" x14ac:dyDescent="0.25">
      <c r="L164" s="387"/>
      <c r="M164" s="437"/>
      <c r="N164" s="285">
        <f t="shared" si="4"/>
        <v>0</v>
      </c>
      <c r="O164" s="386" t="s">
        <v>370</v>
      </c>
      <c r="P164" s="434">
        <v>0.40576382999999999</v>
      </c>
      <c r="Q164" s="431">
        <f t="shared" si="5"/>
        <v>1.8234553004496695E-2</v>
      </c>
    </row>
    <row r="165" spans="12:17" x14ac:dyDescent="0.25">
      <c r="L165" s="387"/>
      <c r="M165" s="437"/>
      <c r="N165" s="285">
        <f t="shared" si="4"/>
        <v>0</v>
      </c>
      <c r="O165" s="386" t="s">
        <v>350</v>
      </c>
      <c r="P165" s="434">
        <v>0.39375886999999998</v>
      </c>
      <c r="Q165" s="431">
        <f t="shared" si="5"/>
        <v>1.7695064111568848E-2</v>
      </c>
    </row>
    <row r="166" spans="12:17" x14ac:dyDescent="0.25">
      <c r="L166" s="387"/>
      <c r="M166" s="437"/>
      <c r="N166" s="285">
        <f t="shared" si="4"/>
        <v>0</v>
      </c>
      <c r="O166" s="386" t="s">
        <v>45</v>
      </c>
      <c r="P166" s="434">
        <v>0.39257767999999998</v>
      </c>
      <c r="Q166" s="431">
        <f t="shared" si="5"/>
        <v>1.7641982811386469E-2</v>
      </c>
    </row>
    <row r="167" spans="12:17" x14ac:dyDescent="0.25">
      <c r="L167" s="387"/>
      <c r="M167" s="437"/>
      <c r="N167" s="285">
        <f t="shared" si="4"/>
        <v>0</v>
      </c>
      <c r="O167" s="386" t="s">
        <v>103</v>
      </c>
      <c r="P167" s="434">
        <v>0.38645788000000003</v>
      </c>
      <c r="Q167" s="431">
        <f t="shared" si="5"/>
        <v>1.7366966141031899E-2</v>
      </c>
    </row>
    <row r="168" spans="12:17" x14ac:dyDescent="0.25">
      <c r="L168" s="387"/>
      <c r="M168" s="437"/>
      <c r="N168" s="285">
        <f t="shared" si="4"/>
        <v>0</v>
      </c>
      <c r="O168" s="386" t="s">
        <v>43</v>
      </c>
      <c r="P168" s="434">
        <v>0.36898311</v>
      </c>
      <c r="Q168" s="431">
        <f t="shared" si="5"/>
        <v>1.6581670369828268E-2</v>
      </c>
    </row>
    <row r="169" spans="12:17" x14ac:dyDescent="0.25">
      <c r="L169" s="387"/>
      <c r="M169" s="437"/>
      <c r="N169" s="285">
        <f t="shared" si="4"/>
        <v>0</v>
      </c>
      <c r="O169" s="386" t="s">
        <v>368</v>
      </c>
      <c r="P169" s="434">
        <v>0.35511633000000004</v>
      </c>
      <c r="Q169" s="431">
        <f t="shared" si="5"/>
        <v>1.5958513458795332E-2</v>
      </c>
    </row>
    <row r="170" spans="12:17" x14ac:dyDescent="0.25">
      <c r="L170" s="387"/>
      <c r="M170" s="437"/>
      <c r="N170" s="285">
        <f t="shared" si="4"/>
        <v>0</v>
      </c>
      <c r="O170" s="386" t="s">
        <v>170</v>
      </c>
      <c r="P170" s="434">
        <v>0.30281247999999999</v>
      </c>
      <c r="Q170" s="431">
        <f t="shared" si="5"/>
        <v>1.3608039477010789E-2</v>
      </c>
    </row>
    <row r="171" spans="12:17" x14ac:dyDescent="0.25">
      <c r="L171" s="387"/>
      <c r="M171" s="437"/>
      <c r="N171" s="285">
        <f t="shared" si="4"/>
        <v>0</v>
      </c>
      <c r="O171" s="386" t="s">
        <v>152</v>
      </c>
      <c r="P171" s="434">
        <v>0.28459382</v>
      </c>
      <c r="Q171" s="431">
        <f t="shared" si="5"/>
        <v>1.27893141573072E-2</v>
      </c>
    </row>
    <row r="172" spans="12:17" x14ac:dyDescent="0.25">
      <c r="L172" s="387"/>
      <c r="M172" s="437"/>
      <c r="N172" s="285">
        <f t="shared" si="4"/>
        <v>0</v>
      </c>
      <c r="O172" s="386" t="s">
        <v>73</v>
      </c>
      <c r="P172" s="434">
        <v>0.28270553999999998</v>
      </c>
      <c r="Q172" s="431">
        <f t="shared" si="5"/>
        <v>1.2704457057680229E-2</v>
      </c>
    </row>
    <row r="173" spans="12:17" x14ac:dyDescent="0.25">
      <c r="L173" s="387"/>
      <c r="M173" s="437"/>
      <c r="N173" s="285">
        <f t="shared" si="4"/>
        <v>0</v>
      </c>
      <c r="O173" s="386" t="s">
        <v>69</v>
      </c>
      <c r="P173" s="434">
        <v>0.24179320999999998</v>
      </c>
      <c r="Q173" s="431">
        <f t="shared" si="5"/>
        <v>1.086590469109186E-2</v>
      </c>
    </row>
    <row r="174" spans="12:17" x14ac:dyDescent="0.25">
      <c r="L174" s="387"/>
      <c r="M174" s="437"/>
      <c r="N174" s="285">
        <f t="shared" si="4"/>
        <v>0</v>
      </c>
      <c r="O174" s="386" t="s">
        <v>201</v>
      </c>
      <c r="P174" s="434">
        <v>0.23421167000000001</v>
      </c>
      <c r="Q174" s="431">
        <f t="shared" si="5"/>
        <v>1.0525199130949372E-2</v>
      </c>
    </row>
    <row r="175" spans="12:17" x14ac:dyDescent="0.25">
      <c r="L175" s="387"/>
      <c r="M175" s="437"/>
      <c r="N175" s="285">
        <f t="shared" si="4"/>
        <v>0</v>
      </c>
      <c r="O175" s="386" t="s">
        <v>111</v>
      </c>
      <c r="P175" s="434">
        <v>0.19329464999999998</v>
      </c>
      <c r="Q175" s="431">
        <f t="shared" si="5"/>
        <v>8.6864360012341088E-3</v>
      </c>
    </row>
    <row r="176" spans="12:17" x14ac:dyDescent="0.25">
      <c r="L176" s="387"/>
      <c r="M176" s="437"/>
      <c r="N176" s="285">
        <f t="shared" si="4"/>
        <v>0</v>
      </c>
      <c r="O176" s="386" t="s">
        <v>44</v>
      </c>
      <c r="P176" s="434">
        <v>0.19116743999999999</v>
      </c>
      <c r="Q176" s="431">
        <f t="shared" si="5"/>
        <v>8.5908416662321564E-3</v>
      </c>
    </row>
    <row r="177" spans="12:17" x14ac:dyDescent="0.25">
      <c r="L177" s="387"/>
      <c r="M177" s="437"/>
      <c r="N177" s="285">
        <f t="shared" si="4"/>
        <v>0</v>
      </c>
      <c r="O177" s="386" t="s">
        <v>55</v>
      </c>
      <c r="P177" s="434">
        <v>0.18629699999999999</v>
      </c>
      <c r="Q177" s="431">
        <f t="shared" si="5"/>
        <v>8.3719697763073673E-3</v>
      </c>
    </row>
    <row r="178" spans="12:17" x14ac:dyDescent="0.25">
      <c r="L178" s="387"/>
      <c r="M178" s="437"/>
      <c r="N178" s="285">
        <f t="shared" si="4"/>
        <v>0</v>
      </c>
      <c r="O178" s="386" t="s">
        <v>49</v>
      </c>
      <c r="P178" s="434">
        <v>0.18598000000000001</v>
      </c>
      <c r="Q178" s="431">
        <f t="shared" si="5"/>
        <v>8.3577241662380185E-3</v>
      </c>
    </row>
    <row r="179" spans="12:17" x14ac:dyDescent="0.25">
      <c r="L179" s="387"/>
      <c r="M179" s="437"/>
      <c r="N179" s="285">
        <f t="shared" si="4"/>
        <v>0</v>
      </c>
      <c r="O179" s="386" t="s">
        <v>115</v>
      </c>
      <c r="P179" s="434">
        <v>0.18062453000000001</v>
      </c>
      <c r="Q179" s="431">
        <f t="shared" si="5"/>
        <v>8.1170555941304668E-3</v>
      </c>
    </row>
    <row r="180" spans="12:17" x14ac:dyDescent="0.25">
      <c r="L180" s="387"/>
      <c r="M180" s="437"/>
      <c r="N180" s="285">
        <f t="shared" si="4"/>
        <v>0</v>
      </c>
      <c r="O180" s="386" t="s">
        <v>107</v>
      </c>
      <c r="P180" s="434">
        <v>0.17866793</v>
      </c>
      <c r="Q180" s="431">
        <f t="shared" si="5"/>
        <v>8.0291282734311371E-3</v>
      </c>
    </row>
    <row r="181" spans="12:17" x14ac:dyDescent="0.25">
      <c r="L181" s="387"/>
      <c r="M181" s="437"/>
      <c r="N181" s="285">
        <f t="shared" si="4"/>
        <v>0</v>
      </c>
      <c r="O181" s="386" t="s">
        <v>199</v>
      </c>
      <c r="P181" s="434">
        <v>0.17285412999999999</v>
      </c>
      <c r="Q181" s="431">
        <f t="shared" si="5"/>
        <v>7.7678628859826227E-3</v>
      </c>
    </row>
    <row r="182" spans="12:17" x14ac:dyDescent="0.25">
      <c r="L182" s="387"/>
      <c r="M182" s="437"/>
      <c r="N182" s="285">
        <f t="shared" si="4"/>
        <v>0</v>
      </c>
      <c r="O182" s="386" t="s">
        <v>35</v>
      </c>
      <c r="P182" s="434">
        <v>0.16511300000000001</v>
      </c>
      <c r="Q182" s="431">
        <f t="shared" si="5"/>
        <v>7.4199855374774606E-3</v>
      </c>
    </row>
    <row r="183" spans="12:17" x14ac:dyDescent="0.25">
      <c r="L183" s="387"/>
      <c r="M183" s="437"/>
      <c r="N183" s="285">
        <f t="shared" si="4"/>
        <v>0</v>
      </c>
      <c r="O183" s="386" t="s">
        <v>98</v>
      </c>
      <c r="P183" s="434">
        <v>0.16188460000000002</v>
      </c>
      <c r="Q183" s="431">
        <f t="shared" si="5"/>
        <v>7.2749050089352379E-3</v>
      </c>
    </row>
    <row r="184" spans="12:17" x14ac:dyDescent="0.25">
      <c r="L184" s="387"/>
      <c r="M184" s="437"/>
      <c r="N184" s="285">
        <f t="shared" si="4"/>
        <v>0</v>
      </c>
      <c r="O184" s="386" t="s">
        <v>33</v>
      </c>
      <c r="P184" s="434">
        <v>0.14375794</v>
      </c>
      <c r="Q184" s="431">
        <f t="shared" si="5"/>
        <v>6.4603140618700672E-3</v>
      </c>
    </row>
    <row r="185" spans="12:17" x14ac:dyDescent="0.25">
      <c r="L185" s="387"/>
      <c r="M185" s="437"/>
      <c r="N185" s="285">
        <f t="shared" si="4"/>
        <v>0</v>
      </c>
      <c r="O185" s="386" t="s">
        <v>378</v>
      </c>
      <c r="P185" s="434">
        <v>0.13123285000000001</v>
      </c>
      <c r="Q185" s="431">
        <f t="shared" si="5"/>
        <v>5.8974511337202343E-3</v>
      </c>
    </row>
    <row r="186" spans="12:17" x14ac:dyDescent="0.25">
      <c r="L186" s="387"/>
      <c r="M186" s="437"/>
      <c r="N186" s="285">
        <f t="shared" si="4"/>
        <v>0</v>
      </c>
      <c r="O186" s="386" t="s">
        <v>154</v>
      </c>
      <c r="P186" s="434">
        <v>0.11380805000000001</v>
      </c>
      <c r="Q186" s="431">
        <f t="shared" si="5"/>
        <v>5.1144009560029303E-3</v>
      </c>
    </row>
    <row r="187" spans="12:17" x14ac:dyDescent="0.25">
      <c r="L187" s="387"/>
      <c r="M187" s="437"/>
      <c r="N187" s="285">
        <f t="shared" si="4"/>
        <v>0</v>
      </c>
      <c r="O187" s="386" t="s">
        <v>354</v>
      </c>
      <c r="P187" s="434">
        <v>0.10085564</v>
      </c>
      <c r="Q187" s="431">
        <f t="shared" si="5"/>
        <v>4.5323347657242807E-3</v>
      </c>
    </row>
    <row r="188" spans="12:17" x14ac:dyDescent="0.25">
      <c r="L188" s="387"/>
      <c r="M188" s="437"/>
      <c r="N188" s="285">
        <f t="shared" si="4"/>
        <v>0</v>
      </c>
      <c r="O188" s="386" t="s">
        <v>203</v>
      </c>
      <c r="P188" s="434">
        <v>9.9678030000000001E-2</v>
      </c>
      <c r="Q188" s="431">
        <f t="shared" si="5"/>
        <v>4.4794143465641369E-3</v>
      </c>
    </row>
    <row r="189" spans="12:17" x14ac:dyDescent="0.25">
      <c r="L189" s="387"/>
      <c r="M189" s="437"/>
      <c r="N189" s="285">
        <f t="shared" si="4"/>
        <v>0</v>
      </c>
      <c r="O189" s="386" t="s">
        <v>183</v>
      </c>
      <c r="P189" s="434">
        <v>9.934134E-2</v>
      </c>
      <c r="Q189" s="431">
        <f t="shared" si="5"/>
        <v>4.4642838908725002E-3</v>
      </c>
    </row>
    <row r="190" spans="12:17" x14ac:dyDescent="0.25">
      <c r="L190" s="387"/>
      <c r="M190" s="437"/>
      <c r="N190" s="285">
        <f t="shared" si="4"/>
        <v>0</v>
      </c>
      <c r="O190" s="386" t="s">
        <v>109</v>
      </c>
      <c r="P190" s="434">
        <v>9.2751239999999999E-2</v>
      </c>
      <c r="Q190" s="431">
        <f t="shared" si="5"/>
        <v>4.168132487345641E-3</v>
      </c>
    </row>
    <row r="191" spans="12:17" x14ac:dyDescent="0.25">
      <c r="L191" s="387"/>
      <c r="M191" s="437"/>
      <c r="N191" s="285">
        <f t="shared" si="4"/>
        <v>0</v>
      </c>
      <c r="O191" s="386" t="s">
        <v>37</v>
      </c>
      <c r="P191" s="434">
        <v>7.5457750000000004E-2</v>
      </c>
      <c r="Q191" s="431">
        <f t="shared" si="5"/>
        <v>3.390983227793026E-3</v>
      </c>
    </row>
    <row r="192" spans="12:17" x14ac:dyDescent="0.25">
      <c r="L192" s="387"/>
      <c r="M192" s="437"/>
      <c r="N192" s="285">
        <f t="shared" si="4"/>
        <v>0</v>
      </c>
      <c r="O192" s="386" t="s">
        <v>379</v>
      </c>
      <c r="P192" s="434">
        <v>7.1829299999999999E-2</v>
      </c>
      <c r="Q192" s="431">
        <f t="shared" si="5"/>
        <v>3.2279249190986159E-3</v>
      </c>
    </row>
    <row r="193" spans="12:17" x14ac:dyDescent="0.25">
      <c r="L193" s="387"/>
      <c r="M193" s="437"/>
      <c r="N193" s="285">
        <f t="shared" si="4"/>
        <v>0</v>
      </c>
      <c r="O193" s="386" t="s">
        <v>67</v>
      </c>
      <c r="P193" s="434">
        <v>6.2955430000000007E-2</v>
      </c>
      <c r="Q193" s="431">
        <f t="shared" si="5"/>
        <v>2.8291435568712012E-3</v>
      </c>
    </row>
    <row r="194" spans="12:17" x14ac:dyDescent="0.25">
      <c r="L194" s="387"/>
      <c r="M194" s="437"/>
      <c r="N194" s="285">
        <f t="shared" si="4"/>
        <v>0</v>
      </c>
      <c r="O194" s="386" t="s">
        <v>60</v>
      </c>
      <c r="P194" s="434">
        <v>6.2736440000000004E-2</v>
      </c>
      <c r="Q194" s="431">
        <f t="shared" si="5"/>
        <v>2.8193024018267638E-3</v>
      </c>
    </row>
    <row r="195" spans="12:17" x14ac:dyDescent="0.25">
      <c r="L195" s="387"/>
      <c r="M195" s="437"/>
      <c r="N195" s="285">
        <f t="shared" si="4"/>
        <v>0</v>
      </c>
      <c r="O195" s="386" t="s">
        <v>91</v>
      </c>
      <c r="P195" s="434">
        <v>6.1923880000000001E-2</v>
      </c>
      <c r="Q195" s="431">
        <f t="shared" si="5"/>
        <v>2.7827869036628839E-3</v>
      </c>
    </row>
    <row r="196" spans="12:17" x14ac:dyDescent="0.25">
      <c r="L196" s="387"/>
      <c r="M196" s="437"/>
      <c r="N196" s="285">
        <f t="shared" ref="N196:N223" si="6">(M196/$M$224)*100</f>
        <v>0</v>
      </c>
      <c r="O196" s="386" t="s">
        <v>41</v>
      </c>
      <c r="P196" s="434">
        <v>6.0592680000000003E-2</v>
      </c>
      <c r="Q196" s="431">
        <f t="shared" ref="Q196:Q223" si="7">(P196/$P$224)*100</f>
        <v>2.7229643291382254E-3</v>
      </c>
    </row>
    <row r="197" spans="12:17" x14ac:dyDescent="0.25">
      <c r="L197" s="387"/>
      <c r="M197" s="437"/>
      <c r="N197" s="285">
        <f t="shared" si="6"/>
        <v>0</v>
      </c>
      <c r="O197" s="386" t="s">
        <v>148</v>
      </c>
      <c r="P197" s="434">
        <v>5.2967440000000005E-2</v>
      </c>
      <c r="Q197" s="431">
        <f t="shared" si="7"/>
        <v>2.3802949419924851E-3</v>
      </c>
    </row>
    <row r="198" spans="12:17" x14ac:dyDescent="0.25">
      <c r="L198" s="387"/>
      <c r="M198" s="437"/>
      <c r="N198" s="285">
        <f t="shared" si="6"/>
        <v>0</v>
      </c>
      <c r="O198" s="386" t="s">
        <v>70</v>
      </c>
      <c r="P198" s="434">
        <v>4.8397349999999999E-2</v>
      </c>
      <c r="Q198" s="431">
        <f t="shared" si="7"/>
        <v>2.1749204305671552E-3</v>
      </c>
    </row>
    <row r="199" spans="12:17" x14ac:dyDescent="0.25">
      <c r="L199" s="387"/>
      <c r="M199" s="437"/>
      <c r="N199" s="285">
        <f t="shared" si="6"/>
        <v>0</v>
      </c>
      <c r="O199" s="386" t="s">
        <v>211</v>
      </c>
      <c r="P199" s="434">
        <v>4.6422100000000001E-2</v>
      </c>
      <c r="Q199" s="431">
        <f t="shared" si="7"/>
        <v>2.0861550006318849E-3</v>
      </c>
    </row>
    <row r="200" spans="12:17" x14ac:dyDescent="0.25">
      <c r="L200" s="387"/>
      <c r="M200" s="437"/>
      <c r="N200" s="285">
        <f t="shared" si="6"/>
        <v>0</v>
      </c>
      <c r="O200" s="386" t="s">
        <v>108</v>
      </c>
      <c r="P200" s="434">
        <v>3.4865649999999998E-2</v>
      </c>
      <c r="Q200" s="431">
        <f t="shared" si="7"/>
        <v>1.5668216237046809E-3</v>
      </c>
    </row>
    <row r="201" spans="12:17" x14ac:dyDescent="0.25">
      <c r="L201" s="387"/>
      <c r="M201" s="437"/>
      <c r="N201" s="285">
        <f t="shared" si="6"/>
        <v>0</v>
      </c>
      <c r="O201" s="386" t="s">
        <v>376</v>
      </c>
      <c r="P201" s="434">
        <v>3.3635970000000001E-2</v>
      </c>
      <c r="Q201" s="431">
        <f t="shared" si="7"/>
        <v>1.5115612395088559E-3</v>
      </c>
    </row>
    <row r="202" spans="12:17" x14ac:dyDescent="0.25">
      <c r="L202" s="387"/>
      <c r="M202" s="437"/>
      <c r="N202" s="285">
        <f t="shared" si="6"/>
        <v>0</v>
      </c>
      <c r="O202" s="386" t="s">
        <v>14</v>
      </c>
      <c r="P202" s="434">
        <v>2.7246369999999999E-2</v>
      </c>
      <c r="Q202" s="431">
        <f t="shared" si="7"/>
        <v>1.2244200720037777E-3</v>
      </c>
    </row>
    <row r="203" spans="12:17" x14ac:dyDescent="0.25">
      <c r="L203" s="387"/>
      <c r="M203" s="437"/>
      <c r="N203" s="285">
        <f t="shared" si="6"/>
        <v>0</v>
      </c>
      <c r="O203" s="386" t="s">
        <v>141</v>
      </c>
      <c r="P203" s="434">
        <v>2.4432099999999998E-2</v>
      </c>
      <c r="Q203" s="431">
        <f t="shared" si="7"/>
        <v>1.0979500623827503E-3</v>
      </c>
    </row>
    <row r="204" spans="12:17" x14ac:dyDescent="0.25">
      <c r="L204" s="387"/>
      <c r="M204" s="437"/>
      <c r="N204" s="285">
        <f t="shared" si="6"/>
        <v>0</v>
      </c>
      <c r="O204" s="386" t="s">
        <v>185</v>
      </c>
      <c r="P204" s="434">
        <v>2.2258E-2</v>
      </c>
      <c r="Q204" s="431">
        <f t="shared" si="7"/>
        <v>1.0002485455001928E-3</v>
      </c>
    </row>
    <row r="205" spans="12:17" x14ac:dyDescent="0.25">
      <c r="L205" s="387"/>
      <c r="M205" s="437"/>
      <c r="N205" s="285">
        <f t="shared" si="6"/>
        <v>0</v>
      </c>
      <c r="O205" s="386" t="s">
        <v>347</v>
      </c>
      <c r="P205" s="434">
        <v>2.0330000000000001E-2</v>
      </c>
      <c r="Q205" s="431">
        <f t="shared" si="7"/>
        <v>9.1360647542541623E-4</v>
      </c>
    </row>
    <row r="206" spans="12:17" x14ac:dyDescent="0.25">
      <c r="L206" s="387"/>
      <c r="M206" s="437"/>
      <c r="N206" s="285">
        <f t="shared" si="6"/>
        <v>0</v>
      </c>
      <c r="O206" s="386" t="s">
        <v>363</v>
      </c>
      <c r="P206" s="434">
        <v>1.99848E-2</v>
      </c>
      <c r="Q206" s="431">
        <f t="shared" si="7"/>
        <v>8.9809359026472499E-4</v>
      </c>
    </row>
    <row r="207" spans="12:17" x14ac:dyDescent="0.25">
      <c r="L207" s="387"/>
      <c r="M207" s="437"/>
      <c r="N207" s="285">
        <f t="shared" si="6"/>
        <v>0</v>
      </c>
      <c r="O207" s="386" t="s">
        <v>77</v>
      </c>
      <c r="P207" s="434">
        <v>1.8832000000000002E-2</v>
      </c>
      <c r="Q207" s="431">
        <f t="shared" si="7"/>
        <v>8.4628810355196469E-4</v>
      </c>
    </row>
    <row r="208" spans="12:17" x14ac:dyDescent="0.25">
      <c r="L208" s="387"/>
      <c r="M208" s="437"/>
      <c r="N208" s="285">
        <f t="shared" si="6"/>
        <v>0</v>
      </c>
      <c r="O208" s="386" t="s">
        <v>348</v>
      </c>
      <c r="P208" s="434">
        <v>1.6979999999999999E-2</v>
      </c>
      <c r="Q208" s="431">
        <f t="shared" si="7"/>
        <v>7.6306138478718973E-4</v>
      </c>
    </row>
    <row r="209" spans="12:17" x14ac:dyDescent="0.25">
      <c r="L209" s="387"/>
      <c r="M209" s="437"/>
      <c r="N209" s="285">
        <f t="shared" si="6"/>
        <v>0</v>
      </c>
      <c r="O209" s="386" t="s">
        <v>78</v>
      </c>
      <c r="P209" s="434">
        <v>1.4751110000000001E-2</v>
      </c>
      <c r="Q209" s="431">
        <f t="shared" si="7"/>
        <v>6.6289766924311922E-4</v>
      </c>
    </row>
    <row r="210" spans="12:17" x14ac:dyDescent="0.25">
      <c r="L210" s="387"/>
      <c r="M210" s="437"/>
      <c r="N210" s="285">
        <f t="shared" si="6"/>
        <v>0</v>
      </c>
      <c r="O210" s="386" t="s">
        <v>47</v>
      </c>
      <c r="P210" s="434">
        <v>1.4422000000000001E-2</v>
      </c>
      <c r="Q210" s="431">
        <f t="shared" si="7"/>
        <v>6.481078499058217E-4</v>
      </c>
    </row>
    <row r="211" spans="12:17" x14ac:dyDescent="0.25">
      <c r="L211" s="387"/>
      <c r="M211" s="437"/>
      <c r="N211" s="285">
        <f t="shared" si="6"/>
        <v>0</v>
      </c>
      <c r="O211" s="386" t="s">
        <v>121</v>
      </c>
      <c r="P211" s="434">
        <v>1.4167200000000001E-2</v>
      </c>
      <c r="Q211" s="431">
        <f t="shared" si="7"/>
        <v>6.3665743525071123E-4</v>
      </c>
    </row>
    <row r="212" spans="12:17" x14ac:dyDescent="0.25">
      <c r="L212" s="387"/>
      <c r="M212" s="437"/>
      <c r="N212" s="285">
        <f t="shared" si="6"/>
        <v>0</v>
      </c>
      <c r="O212" s="386" t="s">
        <v>72</v>
      </c>
      <c r="P212" s="434">
        <v>7.2543299999999998E-3</v>
      </c>
      <c r="Q212" s="431">
        <f t="shared" si="7"/>
        <v>3.2600112458794198E-4</v>
      </c>
    </row>
    <row r="213" spans="12:17" x14ac:dyDescent="0.25">
      <c r="L213" s="387"/>
      <c r="M213" s="437"/>
      <c r="N213" s="285">
        <f t="shared" si="6"/>
        <v>0</v>
      </c>
      <c r="O213" s="386" t="s">
        <v>34</v>
      </c>
      <c r="P213" s="434">
        <v>3.6739299999999997E-3</v>
      </c>
      <c r="Q213" s="431">
        <f t="shared" si="7"/>
        <v>1.651021268204476E-4</v>
      </c>
    </row>
    <row r="214" spans="12:17" x14ac:dyDescent="0.25">
      <c r="L214" s="387"/>
      <c r="M214" s="437"/>
      <c r="N214" s="285">
        <f t="shared" si="6"/>
        <v>0</v>
      </c>
      <c r="O214" s="386" t="s">
        <v>11</v>
      </c>
      <c r="P214" s="434">
        <v>3.4034299999999998E-3</v>
      </c>
      <c r="Q214" s="431">
        <f t="shared" si="7"/>
        <v>1.5294617248682362E-4</v>
      </c>
    </row>
    <row r="215" spans="12:17" x14ac:dyDescent="0.25">
      <c r="L215" s="387"/>
      <c r="M215" s="437"/>
      <c r="N215" s="285">
        <f t="shared" si="6"/>
        <v>0</v>
      </c>
      <c r="O215" s="386" t="s">
        <v>59</v>
      </c>
      <c r="P215" s="434">
        <v>2.7499999999999998E-3</v>
      </c>
      <c r="Q215" s="431">
        <f t="shared" si="7"/>
        <v>1.2358179082242474E-4</v>
      </c>
    </row>
    <row r="216" spans="12:17" x14ac:dyDescent="0.25">
      <c r="L216" s="387"/>
      <c r="M216" s="437"/>
      <c r="N216" s="285">
        <f t="shared" si="6"/>
        <v>0</v>
      </c>
      <c r="O216" s="386" t="s">
        <v>97</v>
      </c>
      <c r="P216" s="434">
        <v>1.8530899999999999E-3</v>
      </c>
      <c r="Q216" s="431">
        <f t="shared" si="7"/>
        <v>8.3275702092773464E-5</v>
      </c>
    </row>
    <row r="217" spans="12:17" x14ac:dyDescent="0.25">
      <c r="L217" s="387"/>
      <c r="M217" s="437"/>
      <c r="N217" s="285">
        <f t="shared" si="6"/>
        <v>0</v>
      </c>
      <c r="O217" s="386" t="s">
        <v>367</v>
      </c>
      <c r="P217" s="434">
        <v>1.6801199999999998E-3</v>
      </c>
      <c r="Q217" s="431">
        <f t="shared" si="7"/>
        <v>7.5502632144208083E-5</v>
      </c>
    </row>
    <row r="218" spans="12:17" x14ac:dyDescent="0.25">
      <c r="L218" s="387"/>
      <c r="M218" s="437"/>
      <c r="N218" s="285">
        <f t="shared" si="6"/>
        <v>0</v>
      </c>
      <c r="O218" s="386" t="s">
        <v>377</v>
      </c>
      <c r="P218" s="434">
        <v>6.9510000000000004E-4</v>
      </c>
      <c r="Q218" s="431">
        <f t="shared" si="7"/>
        <v>3.1236982836606341E-5</v>
      </c>
    </row>
    <row r="219" spans="12:17" x14ac:dyDescent="0.25">
      <c r="L219" s="387"/>
      <c r="M219" s="437"/>
      <c r="N219" s="285">
        <f t="shared" si="6"/>
        <v>0</v>
      </c>
      <c r="O219" s="386" t="s">
        <v>54</v>
      </c>
      <c r="P219" s="434">
        <v>4.2630000000000001E-4</v>
      </c>
      <c r="Q219" s="431">
        <f t="shared" si="7"/>
        <v>1.915742451912715E-5</v>
      </c>
    </row>
    <row r="220" spans="12:17" x14ac:dyDescent="0.25">
      <c r="L220" s="387"/>
      <c r="M220" s="437"/>
      <c r="N220" s="285">
        <f t="shared" si="6"/>
        <v>0</v>
      </c>
      <c r="O220" s="386" t="s">
        <v>153</v>
      </c>
      <c r="P220" s="434">
        <v>2.5630999999999999E-4</v>
      </c>
      <c r="Q220" s="431">
        <f t="shared" si="7"/>
        <v>1.1518272292980248E-5</v>
      </c>
    </row>
    <row r="221" spans="12:17" x14ac:dyDescent="0.25">
      <c r="L221" s="387"/>
      <c r="M221" s="437"/>
      <c r="N221" s="285">
        <f t="shared" si="6"/>
        <v>0</v>
      </c>
      <c r="O221" s="386" t="s">
        <v>13</v>
      </c>
      <c r="P221" s="434">
        <v>7.6000000000000004E-5</v>
      </c>
      <c r="Q221" s="431">
        <f t="shared" si="7"/>
        <v>3.4153513100015561E-6</v>
      </c>
    </row>
    <row r="222" spans="12:17" x14ac:dyDescent="0.25">
      <c r="L222" s="387"/>
      <c r="M222" s="437"/>
      <c r="N222" s="285">
        <f t="shared" si="6"/>
        <v>0</v>
      </c>
      <c r="O222" s="386" t="s">
        <v>57</v>
      </c>
      <c r="P222" s="434">
        <v>6.6740000000000001E-5</v>
      </c>
      <c r="Q222" s="431">
        <f t="shared" si="7"/>
        <v>2.9992177161776824E-6</v>
      </c>
    </row>
    <row r="223" spans="12:17" x14ac:dyDescent="0.25">
      <c r="L223" s="432"/>
      <c r="M223" s="438"/>
      <c r="N223" s="441">
        <f t="shared" si="6"/>
        <v>0</v>
      </c>
      <c r="O223" s="440" t="s">
        <v>42</v>
      </c>
      <c r="P223" s="435">
        <v>5.2079999999999996E-5</v>
      </c>
      <c r="Q223" s="436">
        <f t="shared" si="7"/>
        <v>2.3404144240115924E-6</v>
      </c>
    </row>
    <row r="224" spans="12:17" x14ac:dyDescent="0.25">
      <c r="L224" s="286"/>
      <c r="M224" s="287">
        <f>SUBTOTAL(109,Table497011[Column2])</f>
        <v>270.96793896999992</v>
      </c>
      <c r="N224" s="287">
        <f>SUBTOTAL(109,Table497011[Column3])</f>
        <v>99.999999999999986</v>
      </c>
      <c r="O224" s="288"/>
      <c r="P224" s="402">
        <f>SUBTOTAL(109,Table497011[Column5])</f>
        <v>2225.2469248900011</v>
      </c>
      <c r="Q224" s="289">
        <f>SUBTOTAL(109,Table497011[Column6])</f>
        <v>99.999999999999829</v>
      </c>
    </row>
    <row r="225" spans="12:17" x14ac:dyDescent="0.25">
      <c r="L225" s="30"/>
      <c r="M225" s="146"/>
      <c r="N225" s="146"/>
      <c r="O225" s="30"/>
      <c r="P225" s="35"/>
      <c r="Q225" s="109"/>
    </row>
    <row r="226" spans="12:17" x14ac:dyDescent="0.25">
      <c r="L226" s="30"/>
      <c r="M226" s="146"/>
      <c r="N226" s="146"/>
      <c r="O226" s="30"/>
      <c r="P226" s="35"/>
      <c r="Q226" s="109"/>
    </row>
    <row r="227" spans="12:17" x14ac:dyDescent="0.25">
      <c r="L227" s="30"/>
      <c r="M227" s="146"/>
      <c r="N227" s="146"/>
      <c r="O227" s="30"/>
      <c r="P227" s="35"/>
      <c r="Q227" s="109"/>
    </row>
    <row r="228" spans="12:17" x14ac:dyDescent="0.25">
      <c r="L228" s="30"/>
      <c r="M228" s="146"/>
      <c r="N228" s="146"/>
      <c r="O228" s="30"/>
      <c r="P228" s="35"/>
      <c r="Q228" s="109"/>
    </row>
    <row r="229" spans="12:17" x14ac:dyDescent="0.25">
      <c r="L229" s="30"/>
      <c r="M229" s="146"/>
      <c r="N229" s="146"/>
      <c r="O229" s="30"/>
      <c r="P229" s="35"/>
      <c r="Q229" s="109"/>
    </row>
    <row r="230" spans="12:17" x14ac:dyDescent="0.25">
      <c r="L230" s="30"/>
      <c r="M230" s="146"/>
      <c r="N230" s="146"/>
      <c r="O230" s="30"/>
      <c r="P230" s="35"/>
      <c r="Q230" s="109"/>
    </row>
    <row r="231" spans="12:17" x14ac:dyDescent="0.25">
      <c r="L231" s="30"/>
      <c r="M231" s="146"/>
      <c r="N231" s="146"/>
      <c r="O231" s="30"/>
      <c r="P231" s="35"/>
      <c r="Q231" s="109"/>
    </row>
    <row r="232" spans="12:17" x14ac:dyDescent="0.25">
      <c r="L232" s="30"/>
      <c r="M232" s="146"/>
      <c r="N232" s="146"/>
      <c r="O232" s="30"/>
      <c r="P232" s="35"/>
      <c r="Q232" s="109"/>
    </row>
    <row r="233" spans="12:17" x14ac:dyDescent="0.25">
      <c r="L233" s="30"/>
      <c r="M233" s="146"/>
      <c r="N233" s="146"/>
      <c r="O233" s="30"/>
      <c r="P233" s="35"/>
      <c r="Q233" s="109"/>
    </row>
    <row r="234" spans="12:17" x14ac:dyDescent="0.25">
      <c r="L234" s="30"/>
      <c r="M234" s="146"/>
      <c r="N234" s="146"/>
      <c r="O234" s="30"/>
      <c r="P234" s="35"/>
      <c r="Q234" s="109"/>
    </row>
    <row r="235" spans="12:17" x14ac:dyDescent="0.25">
      <c r="L235" s="30"/>
      <c r="M235" s="146"/>
      <c r="N235" s="146"/>
      <c r="O235" s="30"/>
      <c r="P235" s="35"/>
      <c r="Q235" s="109"/>
    </row>
    <row r="236" spans="12:17" x14ac:dyDescent="0.25">
      <c r="L236" s="30"/>
      <c r="M236" s="146"/>
      <c r="N236" s="146"/>
      <c r="O236" s="30"/>
      <c r="P236" s="35"/>
      <c r="Q236" s="109"/>
    </row>
    <row r="237" spans="12:17" x14ac:dyDescent="0.25">
      <c r="L237" s="30"/>
      <c r="M237" s="146"/>
      <c r="N237" s="146"/>
      <c r="O237" s="30"/>
      <c r="P237" s="35"/>
      <c r="Q237" s="109"/>
    </row>
    <row r="238" spans="12:17" x14ac:dyDescent="0.25">
      <c r="L238" s="30"/>
      <c r="M238" s="146"/>
      <c r="N238" s="146"/>
      <c r="O238" s="30"/>
      <c r="P238" s="35"/>
      <c r="Q238" s="109"/>
    </row>
    <row r="239" spans="12:17" x14ac:dyDescent="0.25">
      <c r="L239" s="30"/>
      <c r="M239" s="146"/>
      <c r="N239" s="146"/>
      <c r="O239" s="30"/>
      <c r="P239" s="35"/>
      <c r="Q239" s="109"/>
    </row>
    <row r="240" spans="12:17" x14ac:dyDescent="0.25">
      <c r="L240" s="30"/>
      <c r="M240" s="146"/>
      <c r="N240" s="146"/>
      <c r="O240" s="30"/>
      <c r="P240" s="35"/>
      <c r="Q240" s="109"/>
    </row>
    <row r="241" spans="12:17" x14ac:dyDescent="0.25">
      <c r="L241" s="30"/>
      <c r="M241" s="146"/>
      <c r="N241" s="146"/>
      <c r="O241" s="30"/>
      <c r="P241" s="35"/>
      <c r="Q241" s="109"/>
    </row>
    <row r="242" spans="12:17" x14ac:dyDescent="0.25">
      <c r="L242" s="30"/>
      <c r="M242" s="146"/>
      <c r="N242" s="146"/>
      <c r="O242" s="30"/>
      <c r="P242" s="35"/>
      <c r="Q242" s="109"/>
    </row>
    <row r="243" spans="12:17" x14ac:dyDescent="0.25">
      <c r="L243" s="30"/>
      <c r="M243" s="146"/>
      <c r="N243" s="146"/>
      <c r="O243" s="30"/>
      <c r="P243" s="35"/>
      <c r="Q243" s="109"/>
    </row>
    <row r="244" spans="12:17" x14ac:dyDescent="0.25">
      <c r="L244" s="30"/>
      <c r="M244" s="146"/>
      <c r="N244" s="146"/>
      <c r="O244" s="30"/>
      <c r="P244" s="35"/>
      <c r="Q244" s="109"/>
    </row>
    <row r="245" spans="12:17" x14ac:dyDescent="0.25">
      <c r="L245" s="30"/>
      <c r="M245" s="146"/>
      <c r="N245" s="146"/>
      <c r="O245" s="30"/>
      <c r="P245" s="35"/>
      <c r="Q245" s="109"/>
    </row>
    <row r="246" spans="12:17" x14ac:dyDescent="0.25">
      <c r="L246" s="30"/>
      <c r="M246" s="146"/>
      <c r="N246" s="146"/>
      <c r="O246" s="30"/>
      <c r="P246" s="35"/>
      <c r="Q246" s="109"/>
    </row>
    <row r="247" spans="12:17" x14ac:dyDescent="0.25">
      <c r="L247" s="30"/>
      <c r="M247" s="146"/>
      <c r="N247" s="146"/>
      <c r="O247" s="30"/>
      <c r="P247" s="35"/>
      <c r="Q247" s="109"/>
    </row>
    <row r="248" spans="12:17" x14ac:dyDescent="0.25">
      <c r="L248" s="30"/>
      <c r="M248" s="146"/>
      <c r="N248" s="146"/>
      <c r="O248" s="30"/>
      <c r="P248" s="35"/>
      <c r="Q248" s="109"/>
    </row>
    <row r="249" spans="12:17" x14ac:dyDescent="0.25">
      <c r="L249" s="30"/>
      <c r="M249" s="146"/>
      <c r="N249" s="146"/>
      <c r="O249" s="30"/>
      <c r="P249" s="35"/>
      <c r="Q249" s="109"/>
    </row>
    <row r="250" spans="12:17" x14ac:dyDescent="0.25">
      <c r="L250" s="30"/>
      <c r="M250" s="146"/>
      <c r="N250" s="146"/>
      <c r="O250" s="30"/>
      <c r="P250" s="35"/>
      <c r="Q250" s="109"/>
    </row>
    <row r="251" spans="12:17" x14ac:dyDescent="0.25">
      <c r="L251" s="30"/>
      <c r="M251" s="146"/>
      <c r="N251" s="146"/>
      <c r="O251" s="30"/>
      <c r="P251" s="35"/>
      <c r="Q251" s="109"/>
    </row>
    <row r="252" spans="12:17" x14ac:dyDescent="0.25">
      <c r="L252" s="30"/>
      <c r="M252" s="146"/>
      <c r="N252" s="146"/>
      <c r="O252" s="30"/>
      <c r="P252" s="35"/>
      <c r="Q252" s="109"/>
    </row>
    <row r="253" spans="12:17" x14ac:dyDescent="0.25">
      <c r="L253" s="30"/>
      <c r="M253" s="146"/>
      <c r="N253" s="146"/>
      <c r="O253" s="30"/>
      <c r="P253" s="35"/>
      <c r="Q253" s="109"/>
    </row>
    <row r="254" spans="12:17" x14ac:dyDescent="0.25">
      <c r="L254" s="30"/>
      <c r="M254" s="146"/>
      <c r="N254" s="146"/>
      <c r="O254" s="30"/>
      <c r="P254" s="35"/>
      <c r="Q254" s="109"/>
    </row>
    <row r="255" spans="12:17" x14ac:dyDescent="0.25">
      <c r="L255" s="30"/>
      <c r="M255" s="146"/>
      <c r="N255" s="146"/>
      <c r="O255" s="30"/>
      <c r="P255" s="35"/>
      <c r="Q255" s="109"/>
    </row>
    <row r="256" spans="12:17" x14ac:dyDescent="0.25">
      <c r="L256" s="30"/>
      <c r="M256" s="146"/>
      <c r="N256" s="146"/>
      <c r="O256" s="30"/>
      <c r="P256" s="35"/>
      <c r="Q256" s="109"/>
    </row>
    <row r="257" spans="12:17" x14ac:dyDescent="0.25">
      <c r="L257" s="30"/>
      <c r="M257" s="146"/>
      <c r="N257" s="146"/>
      <c r="O257" s="30"/>
      <c r="P257" s="35"/>
      <c r="Q257" s="109"/>
    </row>
    <row r="258" spans="12:17" x14ac:dyDescent="0.25">
      <c r="L258" s="30"/>
      <c r="M258" s="146"/>
      <c r="N258" s="146"/>
      <c r="O258" s="30"/>
      <c r="P258" s="35"/>
      <c r="Q258" s="109"/>
    </row>
    <row r="259" spans="12:17" x14ac:dyDescent="0.25">
      <c r="L259" s="30"/>
      <c r="M259" s="146"/>
      <c r="N259" s="146"/>
      <c r="O259" s="30"/>
      <c r="P259" s="35"/>
      <c r="Q259" s="109"/>
    </row>
    <row r="260" spans="12:17" x14ac:dyDescent="0.25">
      <c r="L260" s="30"/>
      <c r="M260" s="146"/>
      <c r="N260" s="146"/>
      <c r="O260" s="30"/>
      <c r="P260" s="35"/>
      <c r="Q260" s="109"/>
    </row>
    <row r="261" spans="12:17" x14ac:dyDescent="0.25">
      <c r="L261" s="30"/>
      <c r="M261" s="146"/>
      <c r="N261" s="146"/>
      <c r="O261" s="30"/>
      <c r="P261" s="35"/>
      <c r="Q261" s="109"/>
    </row>
    <row r="262" spans="12:17" x14ac:dyDescent="0.25">
      <c r="L262" s="30"/>
      <c r="M262" s="146"/>
      <c r="N262" s="146"/>
      <c r="O262" s="30"/>
      <c r="P262" s="35"/>
      <c r="Q262" s="109"/>
    </row>
    <row r="263" spans="12:17" x14ac:dyDescent="0.25">
      <c r="L263" s="30"/>
      <c r="M263" s="146"/>
      <c r="N263" s="146"/>
      <c r="O263" s="30"/>
      <c r="P263" s="35"/>
      <c r="Q263" s="109"/>
    </row>
    <row r="264" spans="12:17" x14ac:dyDescent="0.25">
      <c r="L264" s="30"/>
      <c r="M264" s="146"/>
      <c r="N264" s="146"/>
      <c r="O264" s="30"/>
      <c r="P264" s="35"/>
      <c r="Q264" s="109"/>
    </row>
    <row r="265" spans="12:17" x14ac:dyDescent="0.25">
      <c r="L265" s="30"/>
      <c r="M265" s="146"/>
      <c r="N265" s="146"/>
      <c r="O265" s="30"/>
      <c r="P265" s="35"/>
      <c r="Q265" s="109"/>
    </row>
    <row r="266" spans="12:17" x14ac:dyDescent="0.25">
      <c r="L266" s="30"/>
      <c r="M266" s="146"/>
      <c r="N266" s="146"/>
      <c r="O266" s="30"/>
      <c r="P266" s="35"/>
      <c r="Q266" s="109"/>
    </row>
    <row r="267" spans="12:17" x14ac:dyDescent="0.25">
      <c r="L267" s="30"/>
      <c r="M267" s="146"/>
      <c r="N267" s="146"/>
      <c r="O267" s="30"/>
      <c r="P267" s="35"/>
      <c r="Q267" s="109"/>
    </row>
    <row r="268" spans="12:17" x14ac:dyDescent="0.25">
      <c r="L268" s="30"/>
      <c r="M268" s="146"/>
      <c r="N268" s="146"/>
      <c r="O268" s="30"/>
      <c r="P268" s="35"/>
      <c r="Q268" s="109"/>
    </row>
    <row r="269" spans="12:17" x14ac:dyDescent="0.25">
      <c r="L269" s="30"/>
      <c r="M269" s="146"/>
      <c r="N269" s="146"/>
      <c r="O269" s="30"/>
      <c r="P269" s="35"/>
      <c r="Q269" s="109"/>
    </row>
    <row r="270" spans="12:17" x14ac:dyDescent="0.25">
      <c r="L270" s="30"/>
      <c r="M270" s="146"/>
      <c r="N270" s="146"/>
      <c r="O270" s="30"/>
      <c r="P270" s="35"/>
      <c r="Q270" s="109"/>
    </row>
    <row r="271" spans="12:17" x14ac:dyDescent="0.25">
      <c r="L271" s="30"/>
      <c r="M271" s="146"/>
      <c r="N271" s="146"/>
      <c r="O271" s="30"/>
      <c r="P271" s="35"/>
      <c r="Q271" s="109"/>
    </row>
    <row r="272" spans="12:17" x14ac:dyDescent="0.25">
      <c r="L272" s="30"/>
      <c r="M272" s="146"/>
      <c r="N272" s="146"/>
      <c r="O272" s="30"/>
      <c r="P272" s="35"/>
      <c r="Q272" s="109"/>
    </row>
    <row r="273" spans="12:17" x14ac:dyDescent="0.25">
      <c r="L273" s="30"/>
      <c r="M273" s="146"/>
      <c r="N273" s="146"/>
      <c r="O273" s="30"/>
      <c r="P273" s="35"/>
      <c r="Q273" s="109"/>
    </row>
    <row r="274" spans="12:17" x14ac:dyDescent="0.25">
      <c r="L274" s="30"/>
      <c r="M274" s="146"/>
      <c r="N274" s="146"/>
      <c r="O274" s="30"/>
      <c r="P274" s="35"/>
      <c r="Q274" s="109"/>
    </row>
    <row r="275" spans="12:17" x14ac:dyDescent="0.25">
      <c r="L275" s="30"/>
      <c r="M275" s="146"/>
      <c r="N275" s="146"/>
      <c r="O275" s="30"/>
      <c r="P275" s="35"/>
      <c r="Q275" s="109"/>
    </row>
    <row r="276" spans="12:17" x14ac:dyDescent="0.25">
      <c r="L276" s="30"/>
      <c r="M276" s="146"/>
      <c r="N276" s="146"/>
      <c r="O276" s="30"/>
      <c r="P276" s="35"/>
      <c r="Q276" s="109"/>
    </row>
    <row r="277" spans="12:17" x14ac:dyDescent="0.25">
      <c r="L277" s="30"/>
      <c r="M277" s="146"/>
      <c r="N277" s="146"/>
      <c r="O277" s="30"/>
      <c r="P277" s="35"/>
      <c r="Q277" s="109"/>
    </row>
    <row r="278" spans="12:17" x14ac:dyDescent="0.25">
      <c r="L278" s="30"/>
      <c r="M278" s="146"/>
      <c r="N278" s="146"/>
      <c r="O278" s="30"/>
      <c r="P278" s="35"/>
      <c r="Q278" s="109"/>
    </row>
    <row r="279" spans="12:17" x14ac:dyDescent="0.25">
      <c r="L279" s="30"/>
      <c r="M279" s="146"/>
      <c r="N279" s="146"/>
      <c r="O279" s="30"/>
      <c r="P279" s="35"/>
      <c r="Q279" s="109"/>
    </row>
    <row r="280" spans="12:17" x14ac:dyDescent="0.25">
      <c r="L280" s="30"/>
      <c r="M280" s="146"/>
      <c r="N280" s="146"/>
      <c r="O280" s="30"/>
      <c r="P280" s="35"/>
      <c r="Q280" s="109"/>
    </row>
    <row r="281" spans="12:17" x14ac:dyDescent="0.25">
      <c r="L281" s="30"/>
      <c r="M281" s="146"/>
      <c r="N281" s="146"/>
      <c r="O281" s="30"/>
      <c r="P281" s="35"/>
      <c r="Q281" s="109"/>
    </row>
    <row r="282" spans="12:17" x14ac:dyDescent="0.25">
      <c r="L282" s="30"/>
      <c r="M282" s="146"/>
      <c r="N282" s="146"/>
      <c r="O282" s="30"/>
      <c r="P282" s="35"/>
      <c r="Q282" s="109"/>
    </row>
    <row r="283" spans="12:17" x14ac:dyDescent="0.25">
      <c r="L283" s="30"/>
      <c r="M283" s="146"/>
      <c r="N283" s="146"/>
      <c r="O283" s="30"/>
      <c r="P283" s="35"/>
      <c r="Q283" s="109"/>
    </row>
    <row r="284" spans="12:17" x14ac:dyDescent="0.25">
      <c r="L284" s="30"/>
      <c r="M284" s="146"/>
      <c r="N284" s="146"/>
      <c r="O284" s="30"/>
      <c r="P284" s="35"/>
      <c r="Q284" s="109"/>
    </row>
    <row r="285" spans="12:17" x14ac:dyDescent="0.25">
      <c r="L285" s="30"/>
      <c r="M285" s="146"/>
      <c r="N285" s="146"/>
      <c r="O285" s="30"/>
      <c r="P285" s="35"/>
      <c r="Q285" s="109"/>
    </row>
    <row r="286" spans="12:17" x14ac:dyDescent="0.25">
      <c r="L286" s="30"/>
      <c r="M286" s="146"/>
      <c r="N286" s="146"/>
      <c r="O286" s="30"/>
      <c r="P286" s="35"/>
      <c r="Q286" s="109"/>
    </row>
    <row r="287" spans="12:17" x14ac:dyDescent="0.25">
      <c r="L287" s="30"/>
      <c r="M287" s="146"/>
      <c r="N287" s="146"/>
      <c r="O287" s="30"/>
      <c r="P287" s="35"/>
      <c r="Q287" s="109"/>
    </row>
    <row r="288" spans="12:17" x14ac:dyDescent="0.25">
      <c r="L288" s="30"/>
      <c r="M288" s="146"/>
      <c r="N288" s="146"/>
      <c r="O288" s="30"/>
      <c r="P288" s="35"/>
      <c r="Q288" s="109"/>
    </row>
    <row r="289" spans="12:17" x14ac:dyDescent="0.25">
      <c r="L289" s="30"/>
      <c r="M289" s="146"/>
      <c r="N289" s="146"/>
      <c r="O289" s="30"/>
      <c r="P289" s="35"/>
      <c r="Q289" s="109"/>
    </row>
    <row r="290" spans="12:17" x14ac:dyDescent="0.25">
      <c r="L290" s="30"/>
      <c r="M290" s="146"/>
      <c r="N290" s="146"/>
      <c r="O290" s="30"/>
      <c r="P290" s="35"/>
      <c r="Q290" s="109"/>
    </row>
    <row r="291" spans="12:17" x14ac:dyDescent="0.25">
      <c r="L291" s="30"/>
      <c r="M291" s="146"/>
      <c r="N291" s="146"/>
      <c r="O291" s="30"/>
      <c r="P291" s="35"/>
      <c r="Q291" s="109"/>
    </row>
    <row r="292" spans="12:17" x14ac:dyDescent="0.25">
      <c r="L292" s="30"/>
      <c r="M292" s="146"/>
      <c r="N292" s="146"/>
      <c r="O292" s="30"/>
      <c r="P292" s="35"/>
      <c r="Q292" s="109"/>
    </row>
    <row r="293" spans="12:17" x14ac:dyDescent="0.25">
      <c r="L293" s="30"/>
      <c r="M293" s="146"/>
      <c r="N293" s="146"/>
      <c r="O293" s="30"/>
      <c r="P293" s="35"/>
      <c r="Q293" s="109"/>
    </row>
    <row r="294" spans="12:17" x14ac:dyDescent="0.25">
      <c r="L294" s="30"/>
      <c r="M294" s="146"/>
      <c r="N294" s="146"/>
      <c r="O294" s="30"/>
      <c r="P294" s="35"/>
      <c r="Q294" s="109"/>
    </row>
    <row r="295" spans="12:17" x14ac:dyDescent="0.25">
      <c r="L295" s="30"/>
      <c r="M295" s="146"/>
      <c r="N295" s="146"/>
      <c r="O295" s="30"/>
      <c r="P295" s="35"/>
      <c r="Q295" s="109"/>
    </row>
    <row r="296" spans="12:17" x14ac:dyDescent="0.25">
      <c r="L296" s="30"/>
      <c r="M296" s="146"/>
      <c r="N296" s="146"/>
      <c r="O296" s="30"/>
      <c r="P296" s="35"/>
      <c r="Q296" s="109"/>
    </row>
    <row r="297" spans="12:17" x14ac:dyDescent="0.25">
      <c r="L297" s="30"/>
      <c r="M297" s="146"/>
      <c r="N297" s="146"/>
      <c r="O297" s="30"/>
      <c r="P297" s="35"/>
      <c r="Q297" s="109"/>
    </row>
    <row r="298" spans="12:17" x14ac:dyDescent="0.25">
      <c r="L298" s="30"/>
      <c r="M298" s="146"/>
      <c r="N298" s="146"/>
      <c r="O298" s="30"/>
      <c r="P298" s="35"/>
      <c r="Q298" s="109"/>
    </row>
    <row r="299" spans="12:17" x14ac:dyDescent="0.25">
      <c r="L299" s="30"/>
      <c r="M299" s="146"/>
      <c r="N299" s="146"/>
      <c r="O299" s="30"/>
      <c r="P299" s="35"/>
      <c r="Q299" s="109"/>
    </row>
    <row r="300" spans="12:17" x14ac:dyDescent="0.25">
      <c r="L300" s="30"/>
      <c r="M300" s="146"/>
      <c r="N300" s="146"/>
      <c r="O300" s="30"/>
      <c r="P300" s="35"/>
      <c r="Q300" s="109"/>
    </row>
    <row r="301" spans="12:17" x14ac:dyDescent="0.25">
      <c r="L301" s="30"/>
      <c r="M301" s="146"/>
      <c r="N301" s="146"/>
      <c r="O301" s="30"/>
      <c r="P301" s="35"/>
      <c r="Q301" s="109"/>
    </row>
    <row r="302" spans="12:17" x14ac:dyDescent="0.25">
      <c r="L302" s="30"/>
      <c r="M302" s="146"/>
      <c r="N302" s="146"/>
      <c r="O302" s="30"/>
      <c r="P302" s="35"/>
      <c r="Q302" s="109"/>
    </row>
    <row r="303" spans="12:17" x14ac:dyDescent="0.25">
      <c r="L303" s="30"/>
      <c r="M303" s="146"/>
      <c r="N303" s="146"/>
      <c r="O303" s="30"/>
      <c r="P303" s="35"/>
      <c r="Q303" s="109"/>
    </row>
    <row r="304" spans="12:17" x14ac:dyDescent="0.25">
      <c r="L304" s="30"/>
      <c r="M304" s="146"/>
      <c r="N304" s="146"/>
      <c r="O304" s="30"/>
      <c r="P304" s="35"/>
      <c r="Q304" s="109"/>
    </row>
    <row r="305" spans="12:17" x14ac:dyDescent="0.25">
      <c r="L305" s="30"/>
      <c r="M305" s="146"/>
      <c r="N305" s="146"/>
      <c r="O305" s="30"/>
      <c r="P305" s="35"/>
      <c r="Q305" s="109"/>
    </row>
    <row r="306" spans="12:17" x14ac:dyDescent="0.25">
      <c r="L306" s="30"/>
      <c r="M306" s="146"/>
      <c r="N306" s="146"/>
      <c r="O306" s="30"/>
      <c r="P306" s="35"/>
      <c r="Q306" s="109"/>
    </row>
    <row r="307" spans="12:17" x14ac:dyDescent="0.25">
      <c r="L307" s="30"/>
      <c r="M307" s="146"/>
      <c r="N307" s="146"/>
      <c r="O307" s="30"/>
      <c r="P307" s="35"/>
      <c r="Q307" s="109"/>
    </row>
    <row r="308" spans="12:17" x14ac:dyDescent="0.25">
      <c r="L308" s="30"/>
      <c r="M308" s="146"/>
      <c r="N308" s="146"/>
      <c r="O308" s="30"/>
      <c r="P308" s="35"/>
      <c r="Q308" s="109"/>
    </row>
    <row r="309" spans="12:17" x14ac:dyDescent="0.25">
      <c r="L309" s="30"/>
      <c r="M309" s="146"/>
      <c r="N309" s="146"/>
      <c r="O309" s="30"/>
      <c r="P309" s="35"/>
      <c r="Q309" s="109"/>
    </row>
    <row r="310" spans="12:17" x14ac:dyDescent="0.25">
      <c r="L310" s="30"/>
      <c r="M310" s="146"/>
      <c r="N310" s="146"/>
      <c r="O310" s="30"/>
      <c r="P310" s="35"/>
      <c r="Q310" s="109"/>
    </row>
    <row r="311" spans="12:17" x14ac:dyDescent="0.25">
      <c r="L311" s="30"/>
      <c r="M311" s="146"/>
      <c r="N311" s="146"/>
      <c r="O311" s="30"/>
      <c r="P311" s="35"/>
      <c r="Q311" s="109"/>
    </row>
    <row r="312" spans="12:17" x14ac:dyDescent="0.25">
      <c r="L312" s="30"/>
      <c r="M312" s="146"/>
      <c r="N312" s="146"/>
      <c r="O312" s="30"/>
      <c r="P312" s="35"/>
      <c r="Q312" s="109"/>
    </row>
    <row r="313" spans="12:17" x14ac:dyDescent="0.25">
      <c r="L313" s="30"/>
      <c r="M313" s="146"/>
      <c r="N313" s="146"/>
      <c r="O313" s="30"/>
      <c r="P313" s="35"/>
      <c r="Q313" s="109"/>
    </row>
    <row r="314" spans="12:17" x14ac:dyDescent="0.25">
      <c r="L314" s="30"/>
      <c r="M314" s="146"/>
      <c r="N314" s="146"/>
      <c r="O314" s="30"/>
      <c r="P314" s="35"/>
      <c r="Q314" s="109"/>
    </row>
    <row r="315" spans="12:17" x14ac:dyDescent="0.25">
      <c r="L315" s="30"/>
      <c r="M315" s="146"/>
      <c r="N315" s="146"/>
      <c r="O315" s="30"/>
      <c r="P315" s="35"/>
      <c r="Q315" s="109"/>
    </row>
    <row r="316" spans="12:17" x14ac:dyDescent="0.25">
      <c r="L316" s="30"/>
      <c r="M316" s="146"/>
      <c r="N316" s="146"/>
      <c r="O316" s="30"/>
      <c r="P316" s="35"/>
      <c r="Q316" s="109"/>
    </row>
    <row r="317" spans="12:17" x14ac:dyDescent="0.25">
      <c r="L317" s="30"/>
      <c r="M317" s="146"/>
      <c r="N317" s="146"/>
      <c r="O317" s="30"/>
      <c r="P317" s="35"/>
      <c r="Q317" s="109"/>
    </row>
    <row r="318" spans="12:17" x14ac:dyDescent="0.25">
      <c r="L318" s="30"/>
      <c r="M318" s="146"/>
      <c r="N318" s="146"/>
      <c r="O318" s="30"/>
      <c r="P318" s="35"/>
      <c r="Q318" s="109"/>
    </row>
    <row r="319" spans="12:17" x14ac:dyDescent="0.25">
      <c r="L319" s="30"/>
      <c r="M319" s="146"/>
      <c r="N319" s="146"/>
      <c r="O319" s="30"/>
      <c r="P319" s="35"/>
      <c r="Q319" s="109"/>
    </row>
    <row r="320" spans="12:17" x14ac:dyDescent="0.25">
      <c r="L320" s="30"/>
      <c r="M320" s="146"/>
      <c r="N320" s="146"/>
      <c r="O320" s="30"/>
      <c r="P320" s="35"/>
      <c r="Q320" s="109"/>
    </row>
    <row r="321" spans="12:17" x14ac:dyDescent="0.25">
      <c r="L321" s="30"/>
      <c r="M321" s="146"/>
      <c r="N321" s="146"/>
      <c r="O321" s="30"/>
      <c r="P321" s="35"/>
      <c r="Q321" s="109"/>
    </row>
    <row r="322" spans="12:17" x14ac:dyDescent="0.25">
      <c r="L322" s="30"/>
      <c r="M322" s="146"/>
      <c r="N322" s="146"/>
      <c r="O322" s="30"/>
      <c r="P322" s="35"/>
      <c r="Q322" s="109"/>
    </row>
    <row r="323" spans="12:17" x14ac:dyDescent="0.25">
      <c r="L323" s="30"/>
      <c r="M323" s="146"/>
      <c r="N323" s="146"/>
      <c r="O323" s="30"/>
      <c r="P323" s="35"/>
      <c r="Q323" s="109"/>
    </row>
    <row r="324" spans="12:17" x14ac:dyDescent="0.25">
      <c r="L324" s="30"/>
      <c r="M324" s="146"/>
      <c r="N324" s="146"/>
      <c r="O324" s="30"/>
      <c r="P324" s="35"/>
      <c r="Q324" s="109"/>
    </row>
    <row r="325" spans="12:17" x14ac:dyDescent="0.25">
      <c r="L325" s="30"/>
      <c r="M325" s="146"/>
      <c r="N325" s="146"/>
      <c r="O325" s="30"/>
      <c r="P325" s="35"/>
      <c r="Q325" s="109"/>
    </row>
    <row r="326" spans="12:17" x14ac:dyDescent="0.25">
      <c r="L326" s="30"/>
      <c r="M326" s="146"/>
      <c r="N326" s="146"/>
      <c r="O326" s="30"/>
      <c r="P326" s="35"/>
      <c r="Q326" s="109"/>
    </row>
    <row r="327" spans="12:17" x14ac:dyDescent="0.25">
      <c r="L327" s="30"/>
      <c r="M327" s="146"/>
      <c r="N327" s="146"/>
      <c r="O327" s="30"/>
      <c r="P327" s="35"/>
      <c r="Q327" s="109"/>
    </row>
    <row r="328" spans="12:17" x14ac:dyDescent="0.25">
      <c r="L328" s="30"/>
      <c r="M328" s="146"/>
      <c r="N328" s="146"/>
      <c r="O328" s="30"/>
      <c r="P328" s="35"/>
      <c r="Q328" s="109"/>
    </row>
    <row r="329" spans="12:17" x14ac:dyDescent="0.25">
      <c r="L329" s="30"/>
      <c r="M329" s="146"/>
      <c r="N329" s="146"/>
      <c r="O329" s="30"/>
      <c r="P329" s="35"/>
      <c r="Q329" s="109"/>
    </row>
    <row r="330" spans="12:17" x14ac:dyDescent="0.25">
      <c r="L330" s="30"/>
      <c r="M330" s="146"/>
      <c r="N330" s="146"/>
      <c r="O330" s="30"/>
      <c r="P330" s="35"/>
      <c r="Q330" s="109"/>
    </row>
    <row r="331" spans="12:17" x14ac:dyDescent="0.25">
      <c r="L331" s="30"/>
      <c r="M331" s="146"/>
      <c r="N331" s="146"/>
      <c r="O331" s="30"/>
      <c r="P331" s="35"/>
      <c r="Q331" s="109"/>
    </row>
    <row r="332" spans="12:17" x14ac:dyDescent="0.25">
      <c r="L332" s="30"/>
      <c r="M332" s="146"/>
      <c r="N332" s="146"/>
      <c r="O332" s="30"/>
      <c r="P332" s="35"/>
      <c r="Q332" s="109"/>
    </row>
    <row r="333" spans="12:17" x14ac:dyDescent="0.25">
      <c r="L333" s="30"/>
      <c r="M333" s="146"/>
      <c r="N333" s="146"/>
      <c r="O333" s="30"/>
      <c r="P333" s="35"/>
      <c r="Q333" s="109"/>
    </row>
    <row r="334" spans="12:17" x14ac:dyDescent="0.25">
      <c r="L334" s="30"/>
      <c r="M334" s="146"/>
      <c r="N334" s="146"/>
      <c r="O334" s="30"/>
      <c r="P334" s="35"/>
      <c r="Q334" s="109"/>
    </row>
    <row r="335" spans="12:17" x14ac:dyDescent="0.25">
      <c r="L335" s="30"/>
      <c r="M335" s="146"/>
      <c r="N335" s="146"/>
      <c r="O335" s="30"/>
      <c r="P335" s="35"/>
      <c r="Q335" s="109"/>
    </row>
    <row r="336" spans="12:17" x14ac:dyDescent="0.25">
      <c r="L336" s="30"/>
      <c r="M336" s="146"/>
      <c r="N336" s="146"/>
      <c r="O336" s="30"/>
      <c r="P336" s="35"/>
      <c r="Q336" s="109"/>
    </row>
    <row r="337" spans="12:17" x14ac:dyDescent="0.25">
      <c r="L337" s="30"/>
      <c r="M337" s="146"/>
      <c r="N337" s="146"/>
      <c r="O337" s="30"/>
      <c r="P337" s="35"/>
      <c r="Q337" s="109"/>
    </row>
    <row r="338" spans="12:17" x14ac:dyDescent="0.25">
      <c r="L338" s="30"/>
      <c r="M338" s="146"/>
      <c r="N338" s="146"/>
      <c r="O338" s="30"/>
      <c r="P338" s="35"/>
      <c r="Q338" s="109"/>
    </row>
    <row r="339" spans="12:17" x14ac:dyDescent="0.25">
      <c r="L339" s="30"/>
      <c r="M339" s="146"/>
      <c r="N339" s="146"/>
      <c r="O339" s="30"/>
      <c r="P339" s="35"/>
      <c r="Q339" s="109"/>
    </row>
    <row r="340" spans="12:17" x14ac:dyDescent="0.25">
      <c r="L340" s="30"/>
      <c r="M340" s="146"/>
      <c r="N340" s="146"/>
      <c r="O340" s="30"/>
      <c r="P340" s="35"/>
      <c r="Q340" s="109"/>
    </row>
    <row r="341" spans="12:17" x14ac:dyDescent="0.25">
      <c r="L341" s="30"/>
      <c r="M341" s="146"/>
      <c r="N341" s="146"/>
      <c r="O341" s="30"/>
      <c r="P341" s="35"/>
      <c r="Q341" s="109"/>
    </row>
    <row r="342" spans="12:17" x14ac:dyDescent="0.25">
      <c r="L342" s="30"/>
      <c r="M342" s="146"/>
      <c r="N342" s="146"/>
      <c r="O342" s="30"/>
      <c r="P342" s="35"/>
      <c r="Q342" s="109"/>
    </row>
    <row r="343" spans="12:17" x14ac:dyDescent="0.25">
      <c r="L343" s="30"/>
      <c r="M343" s="146"/>
      <c r="N343" s="146"/>
      <c r="O343" s="30"/>
      <c r="P343" s="35"/>
      <c r="Q343" s="109"/>
    </row>
    <row r="344" spans="12:17" x14ac:dyDescent="0.25">
      <c r="L344" s="30"/>
      <c r="M344" s="146"/>
      <c r="N344" s="146"/>
      <c r="O344" s="30"/>
      <c r="P344" s="35"/>
      <c r="Q344" s="109"/>
    </row>
    <row r="345" spans="12:17" x14ac:dyDescent="0.25">
      <c r="L345" s="30"/>
      <c r="M345" s="146"/>
      <c r="N345" s="146"/>
      <c r="O345" s="30"/>
      <c r="P345" s="35"/>
      <c r="Q345" s="109"/>
    </row>
    <row r="346" spans="12:17" x14ac:dyDescent="0.25">
      <c r="L346" s="30"/>
      <c r="M346" s="146"/>
      <c r="N346" s="146"/>
      <c r="O346" s="30"/>
      <c r="P346" s="35"/>
      <c r="Q346" s="109"/>
    </row>
    <row r="347" spans="12:17" x14ac:dyDescent="0.25">
      <c r="L347" s="30"/>
      <c r="M347" s="146"/>
      <c r="N347" s="146"/>
      <c r="O347" s="30"/>
      <c r="P347" s="35"/>
      <c r="Q347" s="109"/>
    </row>
    <row r="348" spans="12:17" x14ac:dyDescent="0.25">
      <c r="L348" s="30"/>
      <c r="M348" s="146"/>
      <c r="N348" s="146"/>
      <c r="O348" s="30"/>
      <c r="P348" s="35"/>
      <c r="Q348" s="109"/>
    </row>
    <row r="349" spans="12:17" x14ac:dyDescent="0.25">
      <c r="L349" s="30"/>
      <c r="M349" s="146"/>
      <c r="N349" s="146"/>
      <c r="O349" s="30"/>
      <c r="P349" s="35"/>
      <c r="Q349" s="109"/>
    </row>
    <row r="350" spans="12:17" x14ac:dyDescent="0.25">
      <c r="L350" s="30"/>
      <c r="M350" s="146"/>
      <c r="N350" s="146"/>
      <c r="O350" s="30"/>
      <c r="P350" s="35"/>
      <c r="Q350" s="109"/>
    </row>
    <row r="351" spans="12:17" x14ac:dyDescent="0.25">
      <c r="L351" s="30"/>
      <c r="M351" s="146"/>
      <c r="N351" s="146"/>
      <c r="O351" s="30"/>
      <c r="P351" s="35"/>
      <c r="Q351" s="109"/>
    </row>
    <row r="352" spans="12:17" x14ac:dyDescent="0.25">
      <c r="L352" s="30"/>
      <c r="M352" s="146"/>
      <c r="N352" s="146"/>
      <c r="O352" s="30"/>
      <c r="P352" s="35"/>
      <c r="Q352" s="109"/>
    </row>
    <row r="353" spans="12:17" x14ac:dyDescent="0.25">
      <c r="L353" s="30"/>
      <c r="M353" s="146"/>
      <c r="N353" s="146"/>
      <c r="O353" s="30"/>
      <c r="P353" s="35"/>
      <c r="Q353" s="109"/>
    </row>
    <row r="354" spans="12:17" x14ac:dyDescent="0.25">
      <c r="L354" s="30"/>
      <c r="M354" s="146"/>
      <c r="N354" s="146"/>
      <c r="O354" s="30"/>
      <c r="P354" s="35"/>
      <c r="Q354" s="109"/>
    </row>
    <row r="355" spans="12:17" x14ac:dyDescent="0.25">
      <c r="L355" s="30"/>
      <c r="M355" s="146"/>
      <c r="N355" s="146"/>
      <c r="O355" s="30"/>
      <c r="P355" s="35"/>
      <c r="Q355" s="109"/>
    </row>
    <row r="356" spans="12:17" x14ac:dyDescent="0.25">
      <c r="L356" s="30"/>
      <c r="M356" s="146"/>
      <c r="N356" s="146"/>
      <c r="O356" s="30"/>
      <c r="P356" s="35"/>
      <c r="Q356" s="109"/>
    </row>
    <row r="357" spans="12:17" x14ac:dyDescent="0.25">
      <c r="L357" s="30"/>
      <c r="M357" s="146"/>
      <c r="N357" s="146"/>
      <c r="O357" s="30"/>
      <c r="P357" s="35"/>
      <c r="Q357" s="109"/>
    </row>
    <row r="358" spans="12:17" x14ac:dyDescent="0.25">
      <c r="L358" s="30"/>
      <c r="M358" s="146"/>
      <c r="N358" s="146"/>
      <c r="O358" s="30"/>
      <c r="P358" s="35"/>
      <c r="Q358" s="109"/>
    </row>
    <row r="359" spans="12:17" x14ac:dyDescent="0.25">
      <c r="L359" s="30"/>
      <c r="M359" s="146"/>
      <c r="N359" s="146"/>
      <c r="O359" s="30"/>
      <c r="P359" s="35"/>
      <c r="Q359" s="109"/>
    </row>
    <row r="360" spans="12:17" x14ac:dyDescent="0.25">
      <c r="L360" s="30"/>
      <c r="M360" s="146"/>
      <c r="N360" s="146"/>
      <c r="O360" s="30"/>
      <c r="P360" s="35"/>
      <c r="Q360" s="109"/>
    </row>
    <row r="361" spans="12:17" x14ac:dyDescent="0.25">
      <c r="L361" s="30"/>
      <c r="M361" s="146"/>
      <c r="N361" s="146"/>
      <c r="O361" s="30"/>
      <c r="P361" s="35"/>
      <c r="Q361" s="109"/>
    </row>
    <row r="362" spans="12:17" x14ac:dyDescent="0.25">
      <c r="L362" s="30"/>
      <c r="M362" s="146"/>
      <c r="N362" s="146"/>
      <c r="O362" s="30"/>
      <c r="P362" s="35"/>
      <c r="Q362" s="109"/>
    </row>
    <row r="363" spans="12:17" x14ac:dyDescent="0.25">
      <c r="L363" s="30"/>
      <c r="M363" s="146"/>
      <c r="N363" s="146"/>
      <c r="O363" s="30"/>
      <c r="P363" s="35"/>
      <c r="Q363" s="109"/>
    </row>
    <row r="364" spans="12:17" x14ac:dyDescent="0.25">
      <c r="L364" s="30"/>
      <c r="M364" s="146"/>
      <c r="N364" s="146"/>
      <c r="O364" s="30"/>
      <c r="P364" s="35"/>
      <c r="Q364" s="109"/>
    </row>
    <row r="365" spans="12:17" x14ac:dyDescent="0.25">
      <c r="L365" s="30"/>
      <c r="M365" s="146"/>
      <c r="N365" s="146"/>
      <c r="O365" s="30"/>
      <c r="P365" s="35"/>
      <c r="Q365" s="109"/>
    </row>
    <row r="366" spans="12:17" x14ac:dyDescent="0.25">
      <c r="L366" s="30"/>
      <c r="M366" s="146"/>
      <c r="N366" s="146"/>
      <c r="O366" s="30"/>
      <c r="P366" s="35"/>
      <c r="Q366" s="109"/>
    </row>
    <row r="367" spans="12:17" x14ac:dyDescent="0.25">
      <c r="L367" s="30"/>
      <c r="M367" s="146"/>
      <c r="N367" s="146"/>
      <c r="O367" s="30"/>
      <c r="P367" s="35"/>
      <c r="Q367" s="109"/>
    </row>
    <row r="368" spans="12:17" x14ac:dyDescent="0.25">
      <c r="L368" s="30"/>
      <c r="M368" s="146"/>
      <c r="N368" s="146"/>
      <c r="O368" s="30"/>
      <c r="P368" s="35"/>
      <c r="Q368" s="109"/>
    </row>
    <row r="369" spans="12:17" x14ac:dyDescent="0.25">
      <c r="L369" s="30"/>
      <c r="M369" s="146"/>
      <c r="N369" s="146"/>
      <c r="O369" s="30"/>
      <c r="P369" s="35"/>
      <c r="Q369" s="109"/>
    </row>
    <row r="370" spans="12:17" x14ac:dyDescent="0.25">
      <c r="L370" s="30"/>
      <c r="M370" s="146"/>
      <c r="N370" s="146"/>
      <c r="O370" s="30"/>
      <c r="P370" s="35"/>
      <c r="Q370" s="109"/>
    </row>
    <row r="371" spans="12:17" x14ac:dyDescent="0.25">
      <c r="L371" s="30"/>
      <c r="M371" s="146"/>
      <c r="N371" s="146"/>
      <c r="O371" s="30"/>
      <c r="P371" s="35"/>
      <c r="Q371" s="109"/>
    </row>
    <row r="372" spans="12:17" x14ac:dyDescent="0.25">
      <c r="L372" s="30"/>
      <c r="M372" s="146"/>
      <c r="N372" s="146"/>
      <c r="O372" s="30"/>
      <c r="P372" s="35"/>
      <c r="Q372" s="109"/>
    </row>
    <row r="373" spans="12:17" x14ac:dyDescent="0.25">
      <c r="L373" s="30"/>
      <c r="M373" s="146"/>
      <c r="N373" s="146"/>
      <c r="O373" s="30"/>
      <c r="P373" s="35"/>
      <c r="Q373" s="109"/>
    </row>
    <row r="374" spans="12:17" x14ac:dyDescent="0.25">
      <c r="L374" s="30"/>
      <c r="M374" s="146"/>
      <c r="N374" s="146"/>
      <c r="O374" s="30"/>
      <c r="P374" s="35"/>
      <c r="Q374" s="109"/>
    </row>
    <row r="375" spans="12:17" x14ac:dyDescent="0.25">
      <c r="L375" s="30"/>
      <c r="M375" s="146"/>
      <c r="N375" s="146"/>
      <c r="O375" s="30"/>
      <c r="P375" s="35"/>
      <c r="Q375" s="109"/>
    </row>
    <row r="376" spans="12:17" x14ac:dyDescent="0.25">
      <c r="L376" s="30"/>
      <c r="M376" s="146"/>
      <c r="N376" s="146"/>
      <c r="O376" s="30"/>
      <c r="P376" s="35"/>
      <c r="Q376" s="109"/>
    </row>
    <row r="377" spans="12:17" x14ac:dyDescent="0.25">
      <c r="L377" s="30"/>
      <c r="M377" s="146"/>
      <c r="N377" s="146"/>
      <c r="O377" s="30"/>
      <c r="P377" s="35"/>
      <c r="Q377" s="109"/>
    </row>
    <row r="378" spans="12:17" x14ac:dyDescent="0.25">
      <c r="L378" s="30"/>
      <c r="M378" s="146"/>
      <c r="N378" s="146"/>
      <c r="O378" s="30"/>
      <c r="P378" s="35"/>
      <c r="Q378" s="109"/>
    </row>
    <row r="379" spans="12:17" x14ac:dyDescent="0.25">
      <c r="L379" s="30"/>
      <c r="M379" s="146"/>
      <c r="N379" s="146"/>
      <c r="O379" s="30"/>
      <c r="P379" s="35"/>
      <c r="Q379" s="109"/>
    </row>
    <row r="380" spans="12:17" x14ac:dyDescent="0.25">
      <c r="L380" s="30"/>
      <c r="M380" s="146"/>
      <c r="N380" s="146"/>
      <c r="O380" s="30"/>
      <c r="P380" s="35"/>
      <c r="Q380" s="109"/>
    </row>
    <row r="381" spans="12:17" x14ac:dyDescent="0.25">
      <c r="L381" s="30"/>
      <c r="M381" s="146"/>
      <c r="N381" s="146"/>
      <c r="O381" s="30"/>
      <c r="P381" s="35"/>
      <c r="Q381" s="109"/>
    </row>
    <row r="382" spans="12:17" x14ac:dyDescent="0.25">
      <c r="L382" s="30"/>
      <c r="M382" s="146"/>
      <c r="N382" s="146"/>
      <c r="O382" s="30"/>
      <c r="P382" s="35"/>
      <c r="Q382" s="109"/>
    </row>
    <row r="383" spans="12:17" x14ac:dyDescent="0.25">
      <c r="L383" s="30"/>
      <c r="M383" s="146"/>
      <c r="N383" s="146"/>
      <c r="O383" s="30"/>
      <c r="P383" s="35"/>
      <c r="Q383" s="109"/>
    </row>
    <row r="384" spans="12:17" x14ac:dyDescent="0.25">
      <c r="L384" s="30"/>
      <c r="M384" s="146"/>
      <c r="N384" s="146"/>
      <c r="O384" s="30"/>
      <c r="P384" s="35"/>
      <c r="Q384" s="109"/>
    </row>
    <row r="385" spans="12:17" x14ac:dyDescent="0.25">
      <c r="L385" s="30"/>
      <c r="M385" s="146"/>
      <c r="N385" s="146"/>
      <c r="O385" s="30"/>
      <c r="P385" s="35"/>
      <c r="Q385" s="109"/>
    </row>
    <row r="386" spans="12:17" x14ac:dyDescent="0.25">
      <c r="L386" s="30"/>
      <c r="M386" s="146"/>
      <c r="N386" s="146"/>
      <c r="O386" s="30"/>
      <c r="P386" s="35"/>
      <c r="Q386" s="109"/>
    </row>
    <row r="387" spans="12:17" x14ac:dyDescent="0.25">
      <c r="L387" s="30"/>
      <c r="M387" s="146"/>
      <c r="N387" s="146"/>
      <c r="O387" s="30"/>
      <c r="P387" s="35"/>
      <c r="Q387" s="109"/>
    </row>
    <row r="388" spans="12:17" x14ac:dyDescent="0.25">
      <c r="L388" s="30"/>
      <c r="M388" s="146"/>
      <c r="N388" s="146"/>
      <c r="O388" s="30"/>
      <c r="P388" s="35"/>
      <c r="Q388" s="109"/>
    </row>
    <row r="389" spans="12:17" x14ac:dyDescent="0.25">
      <c r="L389" s="30"/>
      <c r="M389" s="146"/>
      <c r="N389" s="146"/>
      <c r="O389" s="30"/>
      <c r="P389" s="35"/>
      <c r="Q389" s="109"/>
    </row>
    <row r="390" spans="12:17" x14ac:dyDescent="0.25">
      <c r="L390" s="30"/>
      <c r="M390" s="146"/>
      <c r="N390" s="146"/>
      <c r="O390" s="30"/>
      <c r="P390" s="35"/>
      <c r="Q390" s="109"/>
    </row>
    <row r="391" spans="12:17" x14ac:dyDescent="0.25">
      <c r="L391" s="30"/>
      <c r="M391" s="146"/>
      <c r="N391" s="146"/>
      <c r="O391" s="30"/>
      <c r="P391" s="35"/>
      <c r="Q391" s="109"/>
    </row>
    <row r="392" spans="12:17" x14ac:dyDescent="0.25">
      <c r="L392" s="30"/>
      <c r="M392" s="146"/>
      <c r="N392" s="146"/>
      <c r="O392" s="30"/>
      <c r="P392" s="35"/>
      <c r="Q392" s="109"/>
    </row>
    <row r="393" spans="12:17" x14ac:dyDescent="0.25">
      <c r="L393" s="30"/>
      <c r="M393" s="146"/>
      <c r="N393" s="146"/>
      <c r="O393" s="30"/>
      <c r="P393" s="35"/>
      <c r="Q393" s="109"/>
    </row>
    <row r="394" spans="12:17" x14ac:dyDescent="0.25">
      <c r="L394" s="30"/>
      <c r="M394" s="146"/>
      <c r="N394" s="146"/>
      <c r="O394" s="30"/>
      <c r="P394" s="35"/>
      <c r="Q394" s="109"/>
    </row>
    <row r="395" spans="12:17" x14ac:dyDescent="0.25">
      <c r="L395" s="30"/>
      <c r="M395" s="146"/>
      <c r="N395" s="146"/>
      <c r="O395" s="30"/>
      <c r="P395" s="35"/>
      <c r="Q395" s="109"/>
    </row>
    <row r="396" spans="12:17" x14ac:dyDescent="0.25">
      <c r="L396" s="30"/>
      <c r="M396" s="146"/>
      <c r="N396" s="146"/>
      <c r="O396" s="30"/>
      <c r="P396" s="35"/>
      <c r="Q396" s="109"/>
    </row>
    <row r="397" spans="12:17" x14ac:dyDescent="0.25">
      <c r="L397" s="30"/>
      <c r="M397" s="146"/>
      <c r="N397" s="146"/>
      <c r="O397" s="30"/>
      <c r="P397" s="35"/>
      <c r="Q397" s="109"/>
    </row>
    <row r="398" spans="12:17" x14ac:dyDescent="0.25">
      <c r="L398" s="30"/>
      <c r="M398" s="146"/>
      <c r="N398" s="146"/>
      <c r="O398" s="30"/>
      <c r="P398" s="35"/>
      <c r="Q398" s="109"/>
    </row>
    <row r="399" spans="12:17" x14ac:dyDescent="0.25">
      <c r="L399" s="30"/>
      <c r="M399" s="146"/>
      <c r="N399" s="146"/>
      <c r="O399" s="30"/>
      <c r="P399" s="35"/>
      <c r="Q399" s="109"/>
    </row>
    <row r="400" spans="12:17" x14ac:dyDescent="0.25">
      <c r="L400" s="30"/>
      <c r="M400" s="146"/>
      <c r="N400" s="146"/>
      <c r="O400" s="30"/>
      <c r="P400" s="35"/>
      <c r="Q400" s="109"/>
    </row>
    <row r="401" spans="12:17" x14ac:dyDescent="0.25">
      <c r="L401" s="30"/>
      <c r="M401" s="146"/>
      <c r="N401" s="146"/>
      <c r="O401" s="30"/>
      <c r="P401" s="35"/>
      <c r="Q401" s="109"/>
    </row>
    <row r="402" spans="12:17" x14ac:dyDescent="0.25">
      <c r="L402" s="30"/>
      <c r="M402" s="146"/>
      <c r="N402" s="146"/>
      <c r="O402" s="30"/>
      <c r="P402" s="35"/>
      <c r="Q402" s="109"/>
    </row>
    <row r="403" spans="12:17" x14ac:dyDescent="0.25">
      <c r="L403" s="30"/>
      <c r="M403" s="146"/>
      <c r="N403" s="146"/>
      <c r="O403" s="30"/>
      <c r="P403" s="35"/>
      <c r="Q403" s="109"/>
    </row>
    <row r="404" spans="12:17" x14ac:dyDescent="0.25">
      <c r="L404" s="30"/>
      <c r="M404" s="146"/>
      <c r="N404" s="146"/>
      <c r="O404" s="30"/>
      <c r="P404" s="35"/>
      <c r="Q404" s="109"/>
    </row>
    <row r="405" spans="12:17" x14ac:dyDescent="0.25">
      <c r="L405" s="30"/>
      <c r="M405" s="146"/>
      <c r="N405" s="146"/>
      <c r="O405" s="30"/>
      <c r="P405" s="35"/>
      <c r="Q405" s="109"/>
    </row>
    <row r="406" spans="12:17" x14ac:dyDescent="0.25">
      <c r="L406" s="30"/>
      <c r="M406" s="146"/>
      <c r="N406" s="146"/>
      <c r="O406" s="30"/>
      <c r="P406" s="35"/>
      <c r="Q406" s="109"/>
    </row>
    <row r="407" spans="12:17" x14ac:dyDescent="0.25">
      <c r="L407" s="30"/>
      <c r="M407" s="146"/>
      <c r="N407" s="146"/>
      <c r="O407" s="30"/>
      <c r="P407" s="35"/>
      <c r="Q407" s="109"/>
    </row>
    <row r="408" spans="12:17" x14ac:dyDescent="0.25">
      <c r="L408" s="30"/>
      <c r="M408" s="146"/>
      <c r="N408" s="146"/>
      <c r="O408" s="30"/>
      <c r="P408" s="35"/>
      <c r="Q408" s="109"/>
    </row>
    <row r="409" spans="12:17" x14ac:dyDescent="0.25">
      <c r="L409" s="30"/>
      <c r="M409" s="146"/>
      <c r="N409" s="146"/>
      <c r="O409" s="30"/>
      <c r="P409" s="35"/>
      <c r="Q409" s="109"/>
    </row>
    <row r="410" spans="12:17" x14ac:dyDescent="0.25">
      <c r="L410" s="30"/>
      <c r="M410" s="146"/>
      <c r="N410" s="146"/>
      <c r="O410" s="30"/>
      <c r="P410" s="35"/>
      <c r="Q410" s="109"/>
    </row>
    <row r="411" spans="12:17" x14ac:dyDescent="0.25">
      <c r="L411" s="30"/>
      <c r="M411" s="146"/>
      <c r="N411" s="146"/>
      <c r="O411" s="30"/>
      <c r="P411" s="35"/>
      <c r="Q411" s="109"/>
    </row>
    <row r="412" spans="12:17" x14ac:dyDescent="0.25">
      <c r="L412" s="30"/>
      <c r="M412" s="146"/>
      <c r="N412" s="146"/>
      <c r="O412" s="30"/>
      <c r="P412" s="35"/>
      <c r="Q412" s="109"/>
    </row>
    <row r="413" spans="12:17" x14ac:dyDescent="0.25">
      <c r="L413" s="30"/>
      <c r="M413" s="146"/>
      <c r="N413" s="146"/>
      <c r="O413" s="30"/>
      <c r="P413" s="35"/>
      <c r="Q413" s="109"/>
    </row>
    <row r="414" spans="12:17" x14ac:dyDescent="0.25">
      <c r="L414" s="30"/>
      <c r="M414" s="146"/>
      <c r="N414" s="146"/>
      <c r="O414" s="30"/>
      <c r="P414" s="35"/>
      <c r="Q414" s="109"/>
    </row>
    <row r="415" spans="12:17" x14ac:dyDescent="0.25">
      <c r="L415" s="30"/>
      <c r="M415" s="146"/>
      <c r="N415" s="146"/>
      <c r="O415" s="30"/>
      <c r="P415" s="35"/>
      <c r="Q415" s="109"/>
    </row>
    <row r="416" spans="12:17" x14ac:dyDescent="0.25">
      <c r="L416" s="30"/>
      <c r="M416" s="146"/>
      <c r="N416" s="146"/>
      <c r="O416" s="30"/>
      <c r="P416" s="35"/>
      <c r="Q416" s="109"/>
    </row>
    <row r="417" spans="12:17" x14ac:dyDescent="0.25">
      <c r="L417" s="30"/>
      <c r="M417" s="146"/>
      <c r="N417" s="146"/>
      <c r="O417" s="30"/>
      <c r="P417" s="35"/>
      <c r="Q417" s="109"/>
    </row>
    <row r="418" spans="12:17" x14ac:dyDescent="0.25">
      <c r="L418" s="30"/>
      <c r="M418" s="146"/>
      <c r="N418" s="146"/>
      <c r="O418" s="30"/>
      <c r="P418" s="35"/>
      <c r="Q418" s="109"/>
    </row>
    <row r="419" spans="12:17" x14ac:dyDescent="0.25">
      <c r="L419" s="30"/>
      <c r="M419" s="146"/>
      <c r="N419" s="146"/>
      <c r="O419" s="30"/>
      <c r="P419" s="35"/>
      <c r="Q419" s="109"/>
    </row>
    <row r="420" spans="12:17" x14ac:dyDescent="0.25">
      <c r="L420" s="30"/>
      <c r="M420" s="146"/>
      <c r="N420" s="146"/>
      <c r="O420" s="30"/>
      <c r="P420" s="35"/>
      <c r="Q420" s="109"/>
    </row>
    <row r="421" spans="12:17" x14ac:dyDescent="0.25">
      <c r="L421" s="30"/>
      <c r="M421" s="146"/>
      <c r="N421" s="146"/>
      <c r="O421" s="30"/>
      <c r="P421" s="35"/>
      <c r="Q421" s="109"/>
    </row>
    <row r="422" spans="12:17" x14ac:dyDescent="0.25">
      <c r="L422" s="30"/>
      <c r="M422" s="146"/>
      <c r="N422" s="146"/>
      <c r="O422" s="30"/>
      <c r="P422" s="35"/>
      <c r="Q422" s="109"/>
    </row>
    <row r="423" spans="12:17" x14ac:dyDescent="0.25">
      <c r="L423" s="30"/>
      <c r="M423" s="146"/>
      <c r="N423" s="146"/>
      <c r="O423" s="30"/>
      <c r="P423" s="35"/>
      <c r="Q423" s="109"/>
    </row>
    <row r="424" spans="12:17" x14ac:dyDescent="0.25">
      <c r="L424" s="30"/>
      <c r="M424" s="146"/>
      <c r="N424" s="146"/>
      <c r="O424" s="30"/>
      <c r="P424" s="35"/>
      <c r="Q424" s="109"/>
    </row>
    <row r="425" spans="12:17" x14ac:dyDescent="0.25">
      <c r="L425" s="30"/>
      <c r="M425" s="146"/>
      <c r="N425" s="146"/>
      <c r="O425" s="30"/>
      <c r="P425" s="35"/>
      <c r="Q425" s="109"/>
    </row>
    <row r="426" spans="12:17" x14ac:dyDescent="0.25">
      <c r="L426" s="30"/>
      <c r="M426" s="146"/>
      <c r="N426" s="146"/>
      <c r="O426" s="30"/>
      <c r="P426" s="35"/>
      <c r="Q426" s="109"/>
    </row>
    <row r="427" spans="12:17" x14ac:dyDescent="0.25">
      <c r="L427" s="30"/>
      <c r="M427" s="146"/>
      <c r="N427" s="146"/>
      <c r="O427" s="30"/>
      <c r="P427" s="35"/>
      <c r="Q427" s="109"/>
    </row>
    <row r="428" spans="12:17" x14ac:dyDescent="0.25">
      <c r="L428" s="30"/>
      <c r="M428" s="146"/>
      <c r="N428" s="146"/>
      <c r="O428" s="30"/>
      <c r="P428" s="35"/>
      <c r="Q428" s="109"/>
    </row>
    <row r="429" spans="12:17" x14ac:dyDescent="0.25">
      <c r="L429" s="30"/>
      <c r="M429" s="146"/>
      <c r="N429" s="146"/>
      <c r="O429" s="30"/>
      <c r="P429" s="35"/>
      <c r="Q429" s="109"/>
    </row>
    <row r="430" spans="12:17" x14ac:dyDescent="0.25">
      <c r="L430" s="30"/>
      <c r="M430" s="146"/>
      <c r="N430" s="146"/>
      <c r="O430" s="30"/>
      <c r="P430" s="35"/>
      <c r="Q430" s="109"/>
    </row>
    <row r="431" spans="12:17" x14ac:dyDescent="0.25">
      <c r="L431" s="30"/>
      <c r="M431" s="146"/>
      <c r="N431" s="146"/>
      <c r="O431" s="30"/>
      <c r="P431" s="35"/>
      <c r="Q431" s="109"/>
    </row>
    <row r="432" spans="12:17" x14ac:dyDescent="0.25">
      <c r="L432" s="30"/>
      <c r="M432" s="146"/>
      <c r="N432" s="146"/>
      <c r="O432" s="30"/>
      <c r="P432" s="35"/>
      <c r="Q432" s="109"/>
    </row>
    <row r="433" spans="12:17" x14ac:dyDescent="0.25">
      <c r="L433" s="30"/>
      <c r="M433" s="146"/>
      <c r="N433" s="146"/>
      <c r="O433" s="30"/>
      <c r="P433" s="35"/>
      <c r="Q433" s="109"/>
    </row>
    <row r="434" spans="12:17" x14ac:dyDescent="0.25">
      <c r="L434" s="30"/>
      <c r="M434" s="146"/>
      <c r="N434" s="146"/>
      <c r="O434" s="30"/>
      <c r="P434" s="35"/>
      <c r="Q434" s="109"/>
    </row>
    <row r="435" spans="12:17" x14ac:dyDescent="0.25">
      <c r="L435" s="30"/>
      <c r="M435" s="146"/>
      <c r="N435" s="146"/>
      <c r="O435" s="30"/>
      <c r="P435" s="35"/>
      <c r="Q435" s="109"/>
    </row>
    <row r="436" spans="12:17" x14ac:dyDescent="0.25">
      <c r="L436" s="30"/>
      <c r="M436" s="146"/>
      <c r="N436" s="146"/>
      <c r="O436" s="30"/>
      <c r="P436" s="35"/>
      <c r="Q436" s="109"/>
    </row>
    <row r="437" spans="12:17" x14ac:dyDescent="0.25">
      <c r="L437" s="30"/>
      <c r="M437" s="146"/>
      <c r="N437" s="146"/>
      <c r="O437" s="30"/>
      <c r="P437" s="35"/>
      <c r="Q437" s="109"/>
    </row>
    <row r="438" spans="12:17" x14ac:dyDescent="0.25">
      <c r="L438" s="30"/>
      <c r="M438" s="146"/>
      <c r="N438" s="146"/>
      <c r="O438" s="30"/>
      <c r="P438" s="35"/>
      <c r="Q438" s="109"/>
    </row>
    <row r="439" spans="12:17" x14ac:dyDescent="0.25">
      <c r="L439" s="30"/>
      <c r="M439" s="146"/>
      <c r="N439" s="146"/>
      <c r="O439" s="30"/>
      <c r="P439" s="35"/>
      <c r="Q439" s="109"/>
    </row>
    <row r="440" spans="12:17" x14ac:dyDescent="0.25">
      <c r="L440" s="30"/>
      <c r="M440" s="146"/>
      <c r="N440" s="146"/>
      <c r="O440" s="30"/>
      <c r="P440" s="35"/>
      <c r="Q440" s="109"/>
    </row>
    <row r="441" spans="12:17" x14ac:dyDescent="0.25">
      <c r="L441" s="30"/>
      <c r="M441" s="146"/>
      <c r="N441" s="146"/>
      <c r="O441" s="30"/>
      <c r="P441" s="35"/>
      <c r="Q441" s="109"/>
    </row>
    <row r="442" spans="12:17" x14ac:dyDescent="0.25">
      <c r="L442" s="30"/>
      <c r="M442" s="146"/>
      <c r="N442" s="146"/>
      <c r="O442" s="30"/>
      <c r="P442" s="35"/>
      <c r="Q442" s="109"/>
    </row>
    <row r="443" spans="12:17" x14ac:dyDescent="0.25">
      <c r="L443" s="30"/>
      <c r="M443" s="146"/>
      <c r="N443" s="146"/>
      <c r="O443" s="30"/>
      <c r="P443" s="35"/>
      <c r="Q443" s="109"/>
    </row>
    <row r="444" spans="12:17" x14ac:dyDescent="0.25">
      <c r="L444" s="30"/>
      <c r="M444" s="146"/>
      <c r="N444" s="146"/>
      <c r="O444" s="30"/>
      <c r="P444" s="35"/>
      <c r="Q444" s="109"/>
    </row>
    <row r="445" spans="12:17" x14ac:dyDescent="0.25">
      <c r="L445" s="30"/>
      <c r="M445" s="146"/>
      <c r="N445" s="146"/>
      <c r="O445" s="30"/>
      <c r="P445" s="35"/>
      <c r="Q445" s="109"/>
    </row>
    <row r="446" spans="12:17" x14ac:dyDescent="0.25">
      <c r="L446" s="30"/>
      <c r="M446" s="146"/>
      <c r="N446" s="146"/>
      <c r="O446" s="30"/>
      <c r="P446" s="35"/>
      <c r="Q446" s="109"/>
    </row>
    <row r="447" spans="12:17" x14ac:dyDescent="0.25">
      <c r="L447" s="30"/>
      <c r="M447" s="146"/>
      <c r="N447" s="146"/>
      <c r="O447" s="30"/>
      <c r="P447" s="35"/>
      <c r="Q447" s="109"/>
    </row>
    <row r="448" spans="12:17" x14ac:dyDescent="0.25">
      <c r="L448" s="30"/>
      <c r="M448" s="146"/>
      <c r="N448" s="146"/>
      <c r="O448" s="30"/>
      <c r="P448" s="35"/>
      <c r="Q448" s="109"/>
    </row>
    <row r="449" spans="12:17" x14ac:dyDescent="0.25">
      <c r="L449" s="30"/>
      <c r="M449" s="146"/>
      <c r="N449" s="146"/>
      <c r="O449" s="30"/>
      <c r="P449" s="35"/>
      <c r="Q449" s="109"/>
    </row>
    <row r="450" spans="12:17" x14ac:dyDescent="0.25">
      <c r="L450" s="30"/>
      <c r="M450" s="146"/>
      <c r="N450" s="146"/>
      <c r="O450" s="30"/>
      <c r="P450" s="35"/>
      <c r="Q450" s="109"/>
    </row>
    <row r="451" spans="12:17" x14ac:dyDescent="0.25">
      <c r="L451" s="30"/>
      <c r="M451" s="146"/>
      <c r="N451" s="146"/>
      <c r="O451" s="30"/>
      <c r="P451" s="35"/>
      <c r="Q451" s="109"/>
    </row>
    <row r="452" spans="12:17" x14ac:dyDescent="0.25">
      <c r="L452" s="30"/>
      <c r="M452" s="146"/>
      <c r="N452" s="146"/>
      <c r="O452" s="30"/>
      <c r="P452" s="35"/>
      <c r="Q452" s="109"/>
    </row>
    <row r="453" spans="12:17" x14ac:dyDescent="0.25">
      <c r="L453" s="30"/>
      <c r="M453" s="146"/>
      <c r="N453" s="146"/>
      <c r="O453" s="30"/>
      <c r="P453" s="35"/>
      <c r="Q453" s="109"/>
    </row>
    <row r="454" spans="12:17" x14ac:dyDescent="0.25">
      <c r="L454" s="30"/>
      <c r="M454" s="146"/>
      <c r="N454" s="146"/>
      <c r="O454" s="30"/>
      <c r="P454" s="35"/>
      <c r="Q454" s="109"/>
    </row>
    <row r="455" spans="12:17" x14ac:dyDescent="0.25">
      <c r="L455" s="30"/>
      <c r="M455" s="146"/>
      <c r="N455" s="146"/>
      <c r="O455" s="30"/>
      <c r="P455" s="35"/>
      <c r="Q455" s="109"/>
    </row>
    <row r="456" spans="12:17" x14ac:dyDescent="0.25">
      <c r="L456" s="30"/>
      <c r="M456" s="146"/>
      <c r="N456" s="146"/>
      <c r="O456" s="30"/>
      <c r="P456" s="35"/>
      <c r="Q456" s="109"/>
    </row>
    <row r="457" spans="12:17" x14ac:dyDescent="0.25">
      <c r="L457" s="30"/>
      <c r="M457" s="146"/>
      <c r="N457" s="146"/>
      <c r="O457" s="30"/>
      <c r="P457" s="35"/>
      <c r="Q457" s="109"/>
    </row>
    <row r="458" spans="12:17" x14ac:dyDescent="0.25">
      <c r="L458" s="30"/>
      <c r="M458" s="146"/>
      <c r="N458" s="146"/>
      <c r="O458" s="30"/>
      <c r="P458" s="35"/>
      <c r="Q458" s="109"/>
    </row>
    <row r="459" spans="12:17" x14ac:dyDescent="0.25">
      <c r="L459" s="30"/>
      <c r="M459" s="146"/>
      <c r="N459" s="146"/>
      <c r="O459" s="30"/>
      <c r="P459" s="35"/>
      <c r="Q459" s="109"/>
    </row>
    <row r="460" spans="12:17" x14ac:dyDescent="0.25">
      <c r="L460" s="30"/>
      <c r="M460" s="146"/>
      <c r="N460" s="146"/>
      <c r="O460" s="30"/>
      <c r="P460" s="35"/>
      <c r="Q460" s="109"/>
    </row>
    <row r="461" spans="12:17" x14ac:dyDescent="0.25">
      <c r="L461" s="30"/>
      <c r="M461" s="146"/>
      <c r="N461" s="146"/>
      <c r="O461" s="30"/>
      <c r="P461" s="35"/>
      <c r="Q461" s="109"/>
    </row>
    <row r="462" spans="12:17" x14ac:dyDescent="0.25">
      <c r="L462" s="30"/>
      <c r="M462" s="146"/>
      <c r="N462" s="146"/>
      <c r="O462" s="30"/>
      <c r="P462" s="35"/>
      <c r="Q462" s="109"/>
    </row>
    <row r="463" spans="12:17" x14ac:dyDescent="0.25">
      <c r="L463" s="30"/>
      <c r="M463" s="146"/>
      <c r="N463" s="146"/>
      <c r="O463" s="30"/>
      <c r="P463" s="35"/>
      <c r="Q463" s="109"/>
    </row>
    <row r="464" spans="12:17" x14ac:dyDescent="0.25">
      <c r="L464" s="30"/>
      <c r="M464" s="146"/>
      <c r="N464" s="146"/>
      <c r="O464" s="30"/>
      <c r="P464" s="35"/>
      <c r="Q464" s="109"/>
    </row>
    <row r="465" spans="12:17" x14ac:dyDescent="0.25">
      <c r="L465" s="30"/>
      <c r="M465" s="146"/>
      <c r="N465" s="146"/>
      <c r="O465" s="30"/>
      <c r="P465" s="35"/>
      <c r="Q465" s="109"/>
    </row>
    <row r="466" spans="12:17" x14ac:dyDescent="0.25">
      <c r="L466" s="30"/>
      <c r="M466" s="146"/>
      <c r="N466" s="146"/>
      <c r="O466" s="30"/>
      <c r="P466" s="35"/>
      <c r="Q466" s="109"/>
    </row>
    <row r="467" spans="12:17" x14ac:dyDescent="0.25">
      <c r="L467" s="30"/>
      <c r="M467" s="146"/>
      <c r="N467" s="146"/>
      <c r="O467" s="30"/>
      <c r="P467" s="35"/>
      <c r="Q467" s="109"/>
    </row>
    <row r="468" spans="12:17" x14ac:dyDescent="0.25">
      <c r="L468" s="30"/>
      <c r="M468" s="146"/>
      <c r="N468" s="146"/>
      <c r="O468" s="30"/>
      <c r="P468" s="35"/>
      <c r="Q468" s="109"/>
    </row>
    <row r="469" spans="12:17" x14ac:dyDescent="0.25">
      <c r="L469" s="30"/>
      <c r="M469" s="146"/>
      <c r="N469" s="146"/>
      <c r="O469" s="30"/>
      <c r="P469" s="35"/>
      <c r="Q469" s="109"/>
    </row>
    <row r="470" spans="12:17" x14ac:dyDescent="0.25">
      <c r="L470" s="30"/>
      <c r="M470" s="146"/>
      <c r="N470" s="146"/>
      <c r="O470" s="30"/>
      <c r="P470" s="35"/>
      <c r="Q470" s="109"/>
    </row>
    <row r="471" spans="12:17" x14ac:dyDescent="0.25">
      <c r="L471" s="30"/>
      <c r="M471" s="146"/>
      <c r="N471" s="146"/>
      <c r="O471" s="30"/>
      <c r="P471" s="35"/>
      <c r="Q471" s="109"/>
    </row>
    <row r="472" spans="12:17" x14ac:dyDescent="0.25">
      <c r="L472" s="30"/>
      <c r="M472" s="146"/>
      <c r="N472" s="146"/>
      <c r="O472" s="30"/>
      <c r="P472" s="35"/>
      <c r="Q472" s="109"/>
    </row>
    <row r="473" spans="12:17" x14ac:dyDescent="0.25">
      <c r="L473" s="30"/>
      <c r="M473" s="146"/>
      <c r="N473" s="146"/>
      <c r="O473" s="30"/>
      <c r="P473" s="35"/>
      <c r="Q473" s="109"/>
    </row>
    <row r="474" spans="12:17" x14ac:dyDescent="0.25">
      <c r="L474" s="30"/>
      <c r="M474" s="146"/>
      <c r="N474" s="146"/>
      <c r="O474" s="30"/>
      <c r="P474" s="35"/>
      <c r="Q474" s="109"/>
    </row>
    <row r="475" spans="12:17" x14ac:dyDescent="0.25">
      <c r="L475" s="30"/>
      <c r="M475" s="146"/>
      <c r="N475" s="146"/>
      <c r="O475" s="30"/>
      <c r="P475" s="35"/>
      <c r="Q475" s="109"/>
    </row>
    <row r="476" spans="12:17" x14ac:dyDescent="0.25">
      <c r="L476" s="30"/>
      <c r="M476" s="146"/>
      <c r="N476" s="146"/>
      <c r="O476" s="30"/>
      <c r="P476" s="35"/>
      <c r="Q476" s="109"/>
    </row>
    <row r="477" spans="12:17" x14ac:dyDescent="0.25">
      <c r="L477" s="30"/>
      <c r="M477" s="146"/>
      <c r="N477" s="146"/>
      <c r="O477" s="30"/>
      <c r="P477" s="35"/>
      <c r="Q477" s="109"/>
    </row>
    <row r="478" spans="12:17" x14ac:dyDescent="0.25">
      <c r="L478" s="30"/>
      <c r="M478" s="146"/>
      <c r="N478" s="146"/>
      <c r="O478" s="30"/>
      <c r="P478" s="35"/>
      <c r="Q478" s="109"/>
    </row>
    <row r="479" spans="12:17" x14ac:dyDescent="0.25">
      <c r="L479" s="30"/>
      <c r="M479" s="146"/>
      <c r="N479" s="146"/>
      <c r="O479" s="30"/>
      <c r="P479" s="35"/>
      <c r="Q479" s="109"/>
    </row>
    <row r="480" spans="12:17" x14ac:dyDescent="0.25">
      <c r="L480" s="30"/>
      <c r="M480" s="146"/>
      <c r="N480" s="146"/>
      <c r="O480" s="30"/>
      <c r="P480" s="35"/>
      <c r="Q480" s="109"/>
    </row>
    <row r="481" spans="12:17" x14ac:dyDescent="0.25">
      <c r="L481" s="30"/>
      <c r="M481" s="146"/>
      <c r="N481" s="146"/>
      <c r="O481" s="30"/>
      <c r="P481" s="35"/>
      <c r="Q481" s="109"/>
    </row>
    <row r="482" spans="12:17" x14ac:dyDescent="0.25">
      <c r="L482" s="30"/>
      <c r="M482" s="146"/>
      <c r="N482" s="146"/>
      <c r="O482" s="30"/>
      <c r="P482" s="35"/>
      <c r="Q482" s="109"/>
    </row>
    <row r="483" spans="12:17" x14ac:dyDescent="0.25">
      <c r="L483" s="30"/>
      <c r="M483" s="146"/>
      <c r="N483" s="146"/>
      <c r="O483" s="30"/>
      <c r="P483" s="35"/>
      <c r="Q483" s="109"/>
    </row>
    <row r="484" spans="12:17" x14ac:dyDescent="0.25">
      <c r="L484" s="30"/>
      <c r="M484" s="146"/>
      <c r="N484" s="146"/>
      <c r="O484" s="30"/>
      <c r="P484" s="35"/>
      <c r="Q484" s="109"/>
    </row>
    <row r="485" spans="12:17" x14ac:dyDescent="0.25">
      <c r="L485" s="30"/>
      <c r="M485" s="146"/>
      <c r="N485" s="146"/>
      <c r="O485" s="30"/>
      <c r="P485" s="35"/>
      <c r="Q485" s="109"/>
    </row>
    <row r="486" spans="12:17" x14ac:dyDescent="0.25">
      <c r="L486" s="30"/>
      <c r="M486" s="146"/>
      <c r="N486" s="146"/>
      <c r="O486" s="30"/>
      <c r="P486" s="35"/>
      <c r="Q486" s="109"/>
    </row>
    <row r="487" spans="12:17" x14ac:dyDescent="0.25">
      <c r="L487" s="30"/>
      <c r="M487" s="146"/>
      <c r="N487" s="146"/>
      <c r="O487" s="30"/>
      <c r="P487" s="35"/>
      <c r="Q487" s="109"/>
    </row>
    <row r="488" spans="12:17" x14ac:dyDescent="0.25">
      <c r="L488" s="30"/>
      <c r="M488" s="146"/>
      <c r="N488" s="146"/>
      <c r="O488" s="30"/>
      <c r="P488" s="35"/>
      <c r="Q488" s="109"/>
    </row>
    <row r="489" spans="12:17" x14ac:dyDescent="0.25">
      <c r="L489" s="30"/>
      <c r="M489" s="146"/>
      <c r="N489" s="146"/>
      <c r="O489" s="30"/>
      <c r="P489" s="35"/>
      <c r="Q489" s="109"/>
    </row>
    <row r="490" spans="12:17" x14ac:dyDescent="0.25">
      <c r="L490" s="30"/>
      <c r="M490" s="146"/>
      <c r="N490" s="146"/>
      <c r="O490" s="30"/>
      <c r="P490" s="35"/>
      <c r="Q490" s="109"/>
    </row>
    <row r="491" spans="12:17" x14ac:dyDescent="0.25">
      <c r="L491" s="30"/>
      <c r="M491" s="146"/>
      <c r="N491" s="146"/>
      <c r="O491" s="30"/>
      <c r="P491" s="35"/>
      <c r="Q491" s="109"/>
    </row>
    <row r="492" spans="12:17" x14ac:dyDescent="0.25">
      <c r="L492" s="30"/>
      <c r="M492" s="146"/>
      <c r="N492" s="146"/>
      <c r="O492" s="30"/>
      <c r="P492" s="35"/>
      <c r="Q492" s="109"/>
    </row>
    <row r="493" spans="12:17" x14ac:dyDescent="0.25">
      <c r="L493" s="30"/>
      <c r="M493" s="146"/>
      <c r="N493" s="146"/>
      <c r="O493" s="30"/>
      <c r="P493" s="35"/>
      <c r="Q493" s="109"/>
    </row>
    <row r="494" spans="12:17" x14ac:dyDescent="0.25">
      <c r="L494" s="30"/>
      <c r="M494" s="146"/>
      <c r="N494" s="146"/>
      <c r="O494" s="30"/>
      <c r="P494" s="35"/>
      <c r="Q494" s="109"/>
    </row>
    <row r="495" spans="12:17" x14ac:dyDescent="0.25">
      <c r="L495" s="30"/>
      <c r="M495" s="146"/>
      <c r="N495" s="146"/>
      <c r="O495" s="30"/>
      <c r="P495" s="35"/>
      <c r="Q495" s="109"/>
    </row>
    <row r="496" spans="12:17" x14ac:dyDescent="0.25">
      <c r="L496" s="30"/>
      <c r="M496" s="146"/>
      <c r="N496" s="146"/>
      <c r="O496" s="30"/>
      <c r="P496" s="35"/>
      <c r="Q496" s="109"/>
    </row>
    <row r="497" spans="12:17" x14ac:dyDescent="0.25">
      <c r="L497" s="30"/>
      <c r="M497" s="146"/>
      <c r="N497" s="146"/>
      <c r="O497" s="30"/>
      <c r="P497" s="35"/>
      <c r="Q497" s="109"/>
    </row>
    <row r="498" spans="12:17" x14ac:dyDescent="0.25">
      <c r="L498" s="30"/>
      <c r="M498" s="146"/>
      <c r="N498" s="146"/>
      <c r="O498" s="30"/>
      <c r="P498" s="35"/>
      <c r="Q498" s="109"/>
    </row>
    <row r="499" spans="12:17" x14ac:dyDescent="0.25">
      <c r="L499" s="30"/>
      <c r="M499" s="146"/>
      <c r="N499" s="146"/>
      <c r="O499" s="30"/>
      <c r="P499" s="35"/>
      <c r="Q499" s="109"/>
    </row>
    <row r="500" spans="12:17" x14ac:dyDescent="0.25">
      <c r="L500" s="30"/>
      <c r="M500" s="146"/>
      <c r="N500" s="146"/>
      <c r="O500" s="30"/>
      <c r="P500" s="35"/>
      <c r="Q500" s="109"/>
    </row>
    <row r="501" spans="12:17" x14ac:dyDescent="0.25">
      <c r="L501" s="30"/>
      <c r="M501" s="146"/>
      <c r="N501" s="146"/>
      <c r="O501" s="30"/>
      <c r="P501" s="35"/>
      <c r="Q501" s="109"/>
    </row>
    <row r="502" spans="12:17" x14ac:dyDescent="0.25">
      <c r="L502" s="30"/>
      <c r="M502" s="146"/>
      <c r="N502" s="146"/>
      <c r="O502" s="30"/>
      <c r="P502" s="35"/>
      <c r="Q502" s="109"/>
    </row>
    <row r="503" spans="12:17" x14ac:dyDescent="0.25">
      <c r="L503" s="30"/>
      <c r="M503" s="146"/>
      <c r="N503" s="146"/>
      <c r="O503" s="30"/>
      <c r="P503" s="35"/>
      <c r="Q503" s="109"/>
    </row>
    <row r="504" spans="12:17" x14ac:dyDescent="0.25">
      <c r="L504" s="30"/>
      <c r="M504" s="146"/>
      <c r="N504" s="146"/>
      <c r="O504" s="30"/>
      <c r="P504" s="35"/>
      <c r="Q504" s="109"/>
    </row>
    <row r="505" spans="12:17" x14ac:dyDescent="0.25">
      <c r="L505" s="30"/>
      <c r="M505" s="146"/>
      <c r="N505" s="146"/>
      <c r="O505" s="30"/>
      <c r="P505" s="35"/>
      <c r="Q505" s="109"/>
    </row>
    <row r="506" spans="12:17" x14ac:dyDescent="0.25">
      <c r="L506" s="30"/>
      <c r="M506" s="146"/>
      <c r="N506" s="146"/>
      <c r="O506" s="30"/>
      <c r="P506" s="35"/>
      <c r="Q506" s="109"/>
    </row>
    <row r="507" spans="12:17" x14ac:dyDescent="0.25">
      <c r="L507" s="30"/>
      <c r="M507" s="146"/>
      <c r="N507" s="146"/>
      <c r="O507" s="30"/>
      <c r="P507" s="35"/>
      <c r="Q507" s="109"/>
    </row>
    <row r="508" spans="12:17" x14ac:dyDescent="0.25">
      <c r="L508" s="30"/>
      <c r="M508" s="146"/>
      <c r="N508" s="146"/>
      <c r="O508" s="30"/>
      <c r="P508" s="35"/>
      <c r="Q508" s="109"/>
    </row>
    <row r="509" spans="12:17" x14ac:dyDescent="0.25">
      <c r="L509" s="30"/>
      <c r="M509" s="146"/>
      <c r="N509" s="146"/>
      <c r="O509" s="30"/>
      <c r="P509" s="35"/>
      <c r="Q509" s="109"/>
    </row>
    <row r="510" spans="12:17" x14ac:dyDescent="0.25">
      <c r="L510" s="30"/>
      <c r="M510" s="146"/>
      <c r="N510" s="146"/>
      <c r="O510" s="30"/>
      <c r="P510" s="35"/>
      <c r="Q510" s="109"/>
    </row>
    <row r="511" spans="12:17" x14ac:dyDescent="0.25">
      <c r="L511" s="30"/>
      <c r="M511" s="146"/>
      <c r="N511" s="146"/>
      <c r="O511" s="30"/>
      <c r="P511" s="35"/>
      <c r="Q511" s="109"/>
    </row>
    <row r="512" spans="12:17" x14ac:dyDescent="0.25">
      <c r="L512" s="30"/>
      <c r="M512" s="146"/>
      <c r="N512" s="146"/>
      <c r="O512" s="30"/>
      <c r="P512" s="35"/>
      <c r="Q512" s="109"/>
    </row>
    <row r="513" spans="12:17" x14ac:dyDescent="0.25">
      <c r="L513" s="30"/>
      <c r="M513" s="146"/>
      <c r="N513" s="146"/>
      <c r="O513" s="30"/>
      <c r="P513" s="35"/>
      <c r="Q513" s="109"/>
    </row>
    <row r="514" spans="12:17" x14ac:dyDescent="0.25">
      <c r="L514" s="30"/>
      <c r="M514" s="146"/>
      <c r="N514" s="146"/>
      <c r="O514" s="30"/>
      <c r="P514" s="35"/>
      <c r="Q514" s="109"/>
    </row>
    <row r="515" spans="12:17" x14ac:dyDescent="0.25">
      <c r="L515" s="30"/>
      <c r="M515" s="146"/>
      <c r="N515" s="146"/>
      <c r="O515" s="30"/>
      <c r="P515" s="35"/>
      <c r="Q515" s="109"/>
    </row>
    <row r="516" spans="12:17" x14ac:dyDescent="0.25">
      <c r="L516" s="30"/>
      <c r="M516" s="146"/>
      <c r="N516" s="146"/>
      <c r="O516" s="30"/>
      <c r="P516" s="35"/>
      <c r="Q516" s="109"/>
    </row>
    <row r="517" spans="12:17" x14ac:dyDescent="0.25">
      <c r="L517" s="30"/>
      <c r="M517" s="146"/>
      <c r="N517" s="146"/>
      <c r="O517" s="30"/>
      <c r="P517" s="35"/>
      <c r="Q517" s="109"/>
    </row>
    <row r="518" spans="12:17" x14ac:dyDescent="0.25">
      <c r="L518" s="30"/>
      <c r="M518" s="146"/>
      <c r="N518" s="146"/>
      <c r="O518" s="30"/>
      <c r="P518" s="35"/>
      <c r="Q518" s="109"/>
    </row>
    <row r="519" spans="12:17" x14ac:dyDescent="0.25">
      <c r="L519" s="30"/>
      <c r="M519" s="146"/>
      <c r="N519" s="146"/>
      <c r="O519" s="30"/>
      <c r="P519" s="35"/>
      <c r="Q519" s="109"/>
    </row>
    <row r="520" spans="12:17" x14ac:dyDescent="0.25">
      <c r="L520" s="30"/>
      <c r="M520" s="146"/>
      <c r="N520" s="146"/>
      <c r="O520" s="30"/>
      <c r="P520" s="35"/>
      <c r="Q520" s="109"/>
    </row>
    <row r="521" spans="12:17" x14ac:dyDescent="0.25">
      <c r="L521" s="30"/>
      <c r="M521" s="146"/>
      <c r="N521" s="146"/>
      <c r="O521" s="30"/>
      <c r="P521" s="35"/>
      <c r="Q521" s="109"/>
    </row>
    <row r="522" spans="12:17" x14ac:dyDescent="0.25">
      <c r="L522" s="30"/>
      <c r="M522" s="146"/>
      <c r="N522" s="146"/>
      <c r="O522" s="30"/>
      <c r="P522" s="35"/>
      <c r="Q522" s="109"/>
    </row>
    <row r="523" spans="12:17" x14ac:dyDescent="0.25">
      <c r="L523" s="30"/>
      <c r="M523" s="146"/>
      <c r="N523" s="146"/>
      <c r="O523" s="30"/>
      <c r="P523" s="35"/>
      <c r="Q523" s="109"/>
    </row>
    <row r="524" spans="12:17" x14ac:dyDescent="0.25">
      <c r="L524" s="30"/>
      <c r="M524" s="146"/>
      <c r="N524" s="146"/>
      <c r="O524" s="30"/>
      <c r="P524" s="35"/>
      <c r="Q524" s="109"/>
    </row>
    <row r="525" spans="12:17" x14ac:dyDescent="0.25">
      <c r="L525" s="30"/>
      <c r="M525" s="146"/>
      <c r="N525" s="146"/>
      <c r="O525" s="30"/>
      <c r="P525" s="35"/>
      <c r="Q525" s="109"/>
    </row>
    <row r="526" spans="12:17" x14ac:dyDescent="0.25">
      <c r="L526" s="30"/>
      <c r="M526" s="146"/>
      <c r="N526" s="146"/>
      <c r="O526" s="30"/>
      <c r="P526" s="35"/>
      <c r="Q526" s="109"/>
    </row>
    <row r="527" spans="12:17" x14ac:dyDescent="0.25">
      <c r="L527" s="30"/>
      <c r="M527" s="146"/>
      <c r="N527" s="146"/>
      <c r="O527" s="30"/>
      <c r="P527" s="35"/>
      <c r="Q527" s="109"/>
    </row>
    <row r="528" spans="12:17" x14ac:dyDescent="0.25">
      <c r="L528" s="30"/>
      <c r="M528" s="146"/>
      <c r="N528" s="146"/>
      <c r="O528" s="30"/>
      <c r="P528" s="35"/>
      <c r="Q528" s="109"/>
    </row>
    <row r="529" spans="12:17" x14ac:dyDescent="0.25">
      <c r="L529" s="30"/>
      <c r="M529" s="146"/>
      <c r="N529" s="146"/>
      <c r="O529" s="30"/>
      <c r="P529" s="35"/>
      <c r="Q529" s="109"/>
    </row>
    <row r="530" spans="12:17" x14ac:dyDescent="0.25">
      <c r="L530" s="30"/>
      <c r="M530" s="146"/>
      <c r="N530" s="146"/>
      <c r="O530" s="30"/>
      <c r="P530" s="35"/>
      <c r="Q530" s="109"/>
    </row>
    <row r="531" spans="12:17" x14ac:dyDescent="0.25">
      <c r="L531" s="30"/>
      <c r="M531" s="146"/>
      <c r="N531" s="146"/>
      <c r="O531" s="30"/>
      <c r="P531" s="35"/>
      <c r="Q531" s="109"/>
    </row>
    <row r="532" spans="12:17" x14ac:dyDescent="0.25">
      <c r="L532" s="30"/>
      <c r="M532" s="146"/>
      <c r="N532" s="146"/>
      <c r="O532" s="30"/>
      <c r="P532" s="35"/>
      <c r="Q532" s="109"/>
    </row>
    <row r="533" spans="12:17" x14ac:dyDescent="0.25">
      <c r="L533" s="30"/>
      <c r="M533" s="146"/>
      <c r="N533" s="146"/>
      <c r="O533" s="30"/>
      <c r="P533" s="35"/>
      <c r="Q533" s="109"/>
    </row>
    <row r="534" spans="12:17" x14ac:dyDescent="0.25">
      <c r="L534" s="30"/>
      <c r="M534" s="146"/>
      <c r="N534" s="146"/>
      <c r="O534" s="30"/>
      <c r="P534" s="35"/>
      <c r="Q534" s="109"/>
    </row>
    <row r="535" spans="12:17" x14ac:dyDescent="0.25">
      <c r="L535" s="30"/>
      <c r="M535" s="146"/>
      <c r="N535" s="146"/>
      <c r="O535" s="30"/>
      <c r="P535" s="35"/>
      <c r="Q535" s="109"/>
    </row>
    <row r="536" spans="12:17" x14ac:dyDescent="0.25">
      <c r="L536" s="30"/>
      <c r="M536" s="146"/>
      <c r="N536" s="146"/>
      <c r="O536" s="30"/>
      <c r="P536" s="35"/>
      <c r="Q536" s="109"/>
    </row>
    <row r="537" spans="12:17" x14ac:dyDescent="0.25">
      <c r="L537" s="30"/>
      <c r="M537" s="146"/>
      <c r="N537" s="146"/>
      <c r="O537" s="30"/>
      <c r="P537" s="35"/>
      <c r="Q537" s="109"/>
    </row>
    <row r="538" spans="12:17" x14ac:dyDescent="0.25">
      <c r="L538" s="30"/>
      <c r="M538" s="146"/>
      <c r="N538" s="146"/>
      <c r="O538" s="30"/>
      <c r="P538" s="35"/>
      <c r="Q538" s="109"/>
    </row>
    <row r="539" spans="12:17" x14ac:dyDescent="0.25">
      <c r="L539" s="30"/>
      <c r="M539" s="146"/>
      <c r="N539" s="146"/>
      <c r="O539" s="30"/>
      <c r="P539" s="35"/>
      <c r="Q539" s="109"/>
    </row>
    <row r="540" spans="12:17" x14ac:dyDescent="0.25">
      <c r="L540" s="30"/>
      <c r="M540" s="146"/>
      <c r="N540" s="146"/>
      <c r="O540" s="30"/>
      <c r="P540" s="35"/>
      <c r="Q540" s="109"/>
    </row>
    <row r="541" spans="12:17" x14ac:dyDescent="0.25">
      <c r="L541" s="30"/>
      <c r="M541" s="146"/>
      <c r="N541" s="146"/>
      <c r="O541" s="30"/>
      <c r="P541" s="35"/>
      <c r="Q541" s="109"/>
    </row>
    <row r="542" spans="12:17" x14ac:dyDescent="0.25">
      <c r="L542" s="30"/>
      <c r="M542" s="146"/>
      <c r="N542" s="146"/>
      <c r="O542" s="30"/>
      <c r="P542" s="35"/>
      <c r="Q542" s="109"/>
    </row>
    <row r="543" spans="12:17" x14ac:dyDescent="0.25">
      <c r="L543" s="30"/>
      <c r="M543" s="146"/>
      <c r="N543" s="146"/>
      <c r="O543" s="30"/>
      <c r="P543" s="35"/>
      <c r="Q543" s="109"/>
    </row>
    <row r="544" spans="12:17" x14ac:dyDescent="0.25">
      <c r="L544" s="30"/>
      <c r="M544" s="146"/>
      <c r="N544" s="146"/>
      <c r="O544" s="30"/>
      <c r="P544" s="35"/>
      <c r="Q544" s="109"/>
    </row>
    <row r="545" spans="12:17" x14ac:dyDescent="0.25">
      <c r="L545" s="30"/>
      <c r="M545" s="146"/>
      <c r="N545" s="146"/>
      <c r="O545" s="30"/>
      <c r="P545" s="35"/>
      <c r="Q545" s="109"/>
    </row>
    <row r="546" spans="12:17" x14ac:dyDescent="0.25">
      <c r="L546" s="30"/>
      <c r="M546" s="146"/>
      <c r="N546" s="146"/>
      <c r="O546" s="30"/>
      <c r="P546" s="35"/>
      <c r="Q546" s="109"/>
    </row>
    <row r="547" spans="12:17" x14ac:dyDescent="0.25">
      <c r="L547" s="30"/>
      <c r="M547" s="146"/>
      <c r="N547" s="146"/>
      <c r="O547" s="30"/>
      <c r="P547" s="35"/>
      <c r="Q547" s="109"/>
    </row>
    <row r="548" spans="12:17" x14ac:dyDescent="0.25">
      <c r="L548" s="30"/>
      <c r="M548" s="146"/>
      <c r="N548" s="146"/>
      <c r="O548" s="30"/>
      <c r="P548" s="35"/>
      <c r="Q548" s="109"/>
    </row>
    <row r="549" spans="12:17" x14ac:dyDescent="0.25">
      <c r="L549" s="30"/>
      <c r="M549" s="146"/>
      <c r="N549" s="146"/>
      <c r="O549" s="30"/>
      <c r="P549" s="35"/>
      <c r="Q549" s="109"/>
    </row>
    <row r="550" spans="12:17" x14ac:dyDescent="0.25">
      <c r="L550" s="30"/>
      <c r="M550" s="146"/>
      <c r="N550" s="146"/>
      <c r="O550" s="30"/>
      <c r="P550" s="35"/>
      <c r="Q550" s="109"/>
    </row>
    <row r="551" spans="12:17" x14ac:dyDescent="0.25">
      <c r="L551" s="30"/>
      <c r="M551" s="146"/>
      <c r="N551" s="146"/>
      <c r="O551" s="30"/>
      <c r="P551" s="35"/>
      <c r="Q551" s="109"/>
    </row>
    <row r="552" spans="12:17" x14ac:dyDescent="0.25">
      <c r="L552" s="30"/>
      <c r="M552" s="146"/>
      <c r="N552" s="146"/>
      <c r="O552" s="30"/>
      <c r="P552" s="35"/>
      <c r="Q552" s="109"/>
    </row>
    <row r="553" spans="12:17" x14ac:dyDescent="0.25">
      <c r="L553" s="30"/>
      <c r="M553" s="146"/>
      <c r="N553" s="146"/>
      <c r="O553" s="30"/>
      <c r="P553" s="35"/>
      <c r="Q553" s="109"/>
    </row>
    <row r="554" spans="12:17" x14ac:dyDescent="0.25">
      <c r="L554" s="30"/>
      <c r="M554" s="146"/>
      <c r="N554" s="146"/>
      <c r="O554" s="30"/>
      <c r="P554" s="35"/>
      <c r="Q554" s="109"/>
    </row>
    <row r="555" spans="12:17" x14ac:dyDescent="0.25">
      <c r="L555" s="30"/>
      <c r="M555" s="146"/>
      <c r="N555" s="146"/>
      <c r="O555" s="30"/>
      <c r="P555" s="35"/>
      <c r="Q555" s="109"/>
    </row>
    <row r="556" spans="12:17" x14ac:dyDescent="0.25">
      <c r="L556" s="30"/>
      <c r="M556" s="146"/>
      <c r="N556" s="146"/>
      <c r="O556" s="30"/>
      <c r="P556" s="35"/>
      <c r="Q556" s="109"/>
    </row>
    <row r="557" spans="12:17" x14ac:dyDescent="0.25">
      <c r="L557" s="30"/>
      <c r="M557" s="146"/>
      <c r="N557" s="146"/>
      <c r="O557" s="30"/>
      <c r="P557" s="35"/>
      <c r="Q557" s="109"/>
    </row>
    <row r="558" spans="12:17" x14ac:dyDescent="0.25">
      <c r="L558" s="30"/>
      <c r="M558" s="146"/>
      <c r="N558" s="146"/>
      <c r="O558" s="30"/>
      <c r="P558" s="35"/>
      <c r="Q558" s="109"/>
    </row>
    <row r="559" spans="12:17" x14ac:dyDescent="0.25">
      <c r="L559" s="30"/>
      <c r="M559" s="146"/>
      <c r="N559" s="146"/>
      <c r="O559" s="30"/>
      <c r="P559" s="35"/>
      <c r="Q559" s="109"/>
    </row>
    <row r="560" spans="12:17" x14ac:dyDescent="0.25">
      <c r="L560" s="30"/>
      <c r="M560" s="146"/>
      <c r="N560" s="146"/>
      <c r="O560" s="30"/>
      <c r="P560" s="35"/>
      <c r="Q560" s="109"/>
    </row>
    <row r="561" spans="12:17" x14ac:dyDescent="0.25">
      <c r="L561" s="30"/>
      <c r="M561" s="146"/>
      <c r="N561" s="146"/>
      <c r="O561" s="30"/>
      <c r="P561" s="35"/>
      <c r="Q561" s="109"/>
    </row>
    <row r="562" spans="12:17" x14ac:dyDescent="0.25">
      <c r="L562" s="30"/>
      <c r="M562" s="146"/>
      <c r="N562" s="146"/>
      <c r="O562" s="30"/>
      <c r="P562" s="35"/>
      <c r="Q562" s="109"/>
    </row>
    <row r="563" spans="12:17" x14ac:dyDescent="0.25">
      <c r="L563" s="30"/>
      <c r="M563" s="146"/>
      <c r="N563" s="146"/>
      <c r="O563" s="30"/>
      <c r="P563" s="35"/>
      <c r="Q563" s="109"/>
    </row>
    <row r="564" spans="12:17" x14ac:dyDescent="0.25">
      <c r="L564" s="30"/>
      <c r="M564" s="146"/>
      <c r="N564" s="146"/>
      <c r="O564" s="30"/>
      <c r="P564" s="35"/>
      <c r="Q564" s="109"/>
    </row>
    <row r="565" spans="12:17" x14ac:dyDescent="0.25">
      <c r="L565" s="30"/>
      <c r="M565" s="146"/>
      <c r="N565" s="146"/>
      <c r="O565" s="30"/>
      <c r="P565" s="35"/>
      <c r="Q565" s="109"/>
    </row>
    <row r="566" spans="12:17" x14ac:dyDescent="0.25">
      <c r="L566" s="30"/>
      <c r="M566" s="146"/>
      <c r="N566" s="146"/>
      <c r="O566" s="30"/>
      <c r="P566" s="35"/>
      <c r="Q566" s="109"/>
    </row>
    <row r="567" spans="12:17" x14ac:dyDescent="0.25">
      <c r="L567" s="30"/>
      <c r="M567" s="146"/>
      <c r="N567" s="146"/>
      <c r="O567" s="30"/>
      <c r="P567" s="35"/>
      <c r="Q567" s="109"/>
    </row>
    <row r="568" spans="12:17" x14ac:dyDescent="0.25">
      <c r="L568" s="30"/>
      <c r="M568" s="146"/>
      <c r="N568" s="146"/>
      <c r="O568" s="30"/>
      <c r="P568" s="35"/>
      <c r="Q568" s="109"/>
    </row>
    <row r="569" spans="12:17" x14ac:dyDescent="0.25">
      <c r="L569" s="30"/>
      <c r="M569" s="146"/>
      <c r="N569" s="146"/>
      <c r="O569" s="30"/>
      <c r="P569" s="35"/>
      <c r="Q569" s="109"/>
    </row>
    <row r="570" spans="12:17" x14ac:dyDescent="0.25">
      <c r="L570" s="30"/>
      <c r="M570" s="146"/>
      <c r="N570" s="146"/>
      <c r="O570" s="30"/>
      <c r="P570" s="35"/>
      <c r="Q570" s="109"/>
    </row>
    <row r="571" spans="12:17" x14ac:dyDescent="0.25">
      <c r="L571" s="30"/>
      <c r="M571" s="146"/>
      <c r="N571" s="146"/>
      <c r="O571" s="30"/>
      <c r="P571" s="35"/>
      <c r="Q571" s="109"/>
    </row>
    <row r="572" spans="12:17" x14ac:dyDescent="0.25">
      <c r="L572" s="30"/>
      <c r="M572" s="146"/>
      <c r="N572" s="146"/>
      <c r="O572" s="30"/>
      <c r="P572" s="35"/>
      <c r="Q572" s="109"/>
    </row>
    <row r="573" spans="12:17" x14ac:dyDescent="0.25">
      <c r="L573" s="30"/>
      <c r="M573" s="146"/>
      <c r="N573" s="146"/>
      <c r="O573" s="30"/>
      <c r="P573" s="35"/>
      <c r="Q573" s="109"/>
    </row>
    <row r="574" spans="12:17" x14ac:dyDescent="0.25">
      <c r="L574" s="30"/>
      <c r="M574" s="146"/>
      <c r="N574" s="146"/>
      <c r="O574" s="30"/>
      <c r="P574" s="35"/>
      <c r="Q574" s="109"/>
    </row>
    <row r="575" spans="12:17" x14ac:dyDescent="0.25">
      <c r="L575" s="30"/>
      <c r="M575" s="146"/>
      <c r="N575" s="146"/>
      <c r="O575" s="30"/>
      <c r="P575" s="35"/>
      <c r="Q575" s="109"/>
    </row>
    <row r="576" spans="12:17" x14ac:dyDescent="0.25">
      <c r="L576" s="30"/>
      <c r="M576" s="146"/>
      <c r="N576" s="146"/>
      <c r="O576" s="30"/>
      <c r="P576" s="35"/>
      <c r="Q576" s="109"/>
    </row>
    <row r="577" spans="12:17" x14ac:dyDescent="0.25">
      <c r="L577" s="30"/>
      <c r="M577" s="146"/>
      <c r="N577" s="146"/>
      <c r="O577" s="30"/>
      <c r="P577" s="35"/>
      <c r="Q577" s="109"/>
    </row>
    <row r="578" spans="12:17" x14ac:dyDescent="0.25">
      <c r="L578" s="30"/>
      <c r="M578" s="146"/>
      <c r="N578" s="146"/>
      <c r="O578" s="30"/>
      <c r="P578" s="35"/>
      <c r="Q578" s="109"/>
    </row>
    <row r="579" spans="12:17" x14ac:dyDescent="0.25">
      <c r="L579" s="30"/>
      <c r="M579" s="146"/>
      <c r="N579" s="146"/>
      <c r="O579" s="30"/>
      <c r="P579" s="35"/>
      <c r="Q579" s="109"/>
    </row>
    <row r="580" spans="12:17" x14ac:dyDescent="0.25">
      <c r="L580" s="30"/>
      <c r="M580" s="146"/>
      <c r="N580" s="146"/>
      <c r="O580" s="30"/>
      <c r="P580" s="35"/>
      <c r="Q580" s="109"/>
    </row>
    <row r="581" spans="12:17" x14ac:dyDescent="0.25">
      <c r="L581" s="30"/>
      <c r="M581" s="146"/>
      <c r="N581" s="146"/>
      <c r="O581" s="30"/>
      <c r="P581" s="35"/>
      <c r="Q581" s="109"/>
    </row>
    <row r="582" spans="12:17" x14ac:dyDescent="0.25">
      <c r="L582" s="30"/>
      <c r="M582" s="146"/>
      <c r="N582" s="146"/>
      <c r="O582" s="30"/>
      <c r="P582" s="35"/>
      <c r="Q582" s="109"/>
    </row>
    <row r="583" spans="12:17" x14ac:dyDescent="0.25">
      <c r="L583" s="30"/>
      <c r="M583" s="146"/>
      <c r="N583" s="146"/>
      <c r="O583" s="30"/>
      <c r="P583" s="35"/>
      <c r="Q583" s="109"/>
    </row>
    <row r="584" spans="12:17" x14ac:dyDescent="0.25">
      <c r="L584" s="30"/>
      <c r="M584" s="146"/>
      <c r="N584" s="146"/>
      <c r="O584" s="30"/>
      <c r="P584" s="35"/>
      <c r="Q584" s="109"/>
    </row>
    <row r="585" spans="12:17" x14ac:dyDescent="0.25">
      <c r="L585" s="30"/>
      <c r="M585" s="146"/>
      <c r="N585" s="146"/>
      <c r="O585" s="30"/>
      <c r="P585" s="35"/>
      <c r="Q585" s="109"/>
    </row>
    <row r="586" spans="12:17" x14ac:dyDescent="0.25">
      <c r="L586" s="30"/>
      <c r="M586" s="146"/>
      <c r="N586" s="146"/>
      <c r="O586" s="30"/>
      <c r="P586" s="35"/>
      <c r="Q586" s="109"/>
    </row>
    <row r="587" spans="12:17" x14ac:dyDescent="0.25">
      <c r="L587" s="30"/>
      <c r="M587" s="146"/>
      <c r="N587" s="146"/>
      <c r="O587" s="30"/>
      <c r="P587" s="35"/>
      <c r="Q587" s="109"/>
    </row>
    <row r="588" spans="12:17" x14ac:dyDescent="0.25">
      <c r="L588" s="30"/>
      <c r="M588" s="146"/>
      <c r="N588" s="146"/>
      <c r="O588" s="30"/>
      <c r="P588" s="35"/>
      <c r="Q588" s="109"/>
    </row>
    <row r="589" spans="12:17" x14ac:dyDescent="0.25">
      <c r="L589" s="30"/>
      <c r="M589" s="146"/>
      <c r="N589" s="146"/>
      <c r="O589" s="30"/>
      <c r="P589" s="35"/>
      <c r="Q589" s="109"/>
    </row>
    <row r="590" spans="12:17" x14ac:dyDescent="0.25">
      <c r="L590" s="30"/>
      <c r="M590" s="146"/>
      <c r="N590" s="146"/>
      <c r="O590" s="30"/>
      <c r="P590" s="35"/>
      <c r="Q590" s="109"/>
    </row>
    <row r="591" spans="12:17" x14ac:dyDescent="0.25">
      <c r="L591" s="30"/>
      <c r="M591" s="146"/>
      <c r="N591" s="146"/>
      <c r="O591" s="30"/>
      <c r="P591" s="35"/>
      <c r="Q591" s="109"/>
    </row>
    <row r="592" spans="12:17" x14ac:dyDescent="0.25">
      <c r="L592" s="30"/>
      <c r="M592" s="146"/>
      <c r="N592" s="146"/>
      <c r="O592" s="30"/>
      <c r="P592" s="35"/>
      <c r="Q592" s="109"/>
    </row>
    <row r="593" spans="12:17" x14ac:dyDescent="0.25">
      <c r="L593" s="30"/>
      <c r="M593" s="146"/>
      <c r="N593" s="146"/>
      <c r="O593" s="30"/>
      <c r="P593" s="35"/>
      <c r="Q593" s="109"/>
    </row>
    <row r="594" spans="12:17" x14ac:dyDescent="0.25">
      <c r="L594" s="30"/>
      <c r="M594" s="146"/>
      <c r="N594" s="146"/>
      <c r="O594" s="30"/>
      <c r="P594" s="35"/>
      <c r="Q594" s="109"/>
    </row>
    <row r="595" spans="12:17" x14ac:dyDescent="0.25">
      <c r="L595" s="30"/>
      <c r="M595" s="146"/>
      <c r="N595" s="146"/>
      <c r="O595" s="30"/>
      <c r="P595" s="35"/>
      <c r="Q595" s="109"/>
    </row>
    <row r="596" spans="12:17" x14ac:dyDescent="0.25">
      <c r="L596" s="30"/>
      <c r="M596" s="146"/>
      <c r="N596" s="146"/>
      <c r="O596" s="30"/>
      <c r="P596" s="35"/>
      <c r="Q596" s="109"/>
    </row>
    <row r="597" spans="12:17" x14ac:dyDescent="0.25">
      <c r="L597" s="30"/>
      <c r="M597" s="146"/>
      <c r="N597" s="146"/>
      <c r="O597" s="30"/>
      <c r="P597" s="35"/>
      <c r="Q597" s="109"/>
    </row>
    <row r="598" spans="12:17" x14ac:dyDescent="0.25">
      <c r="L598" s="30"/>
      <c r="M598" s="146"/>
      <c r="N598" s="146"/>
      <c r="O598" s="30"/>
      <c r="P598" s="35"/>
      <c r="Q598" s="109"/>
    </row>
    <row r="599" spans="12:17" x14ac:dyDescent="0.25">
      <c r="L599" s="30"/>
      <c r="M599" s="146"/>
      <c r="N599" s="146"/>
      <c r="O599" s="30"/>
      <c r="P599" s="35"/>
      <c r="Q599" s="109"/>
    </row>
    <row r="600" spans="12:17" x14ac:dyDescent="0.25">
      <c r="L600" s="30"/>
      <c r="M600" s="146"/>
      <c r="N600" s="146"/>
      <c r="O600" s="30"/>
      <c r="P600" s="35"/>
      <c r="Q600" s="109"/>
    </row>
    <row r="601" spans="12:17" x14ac:dyDescent="0.25">
      <c r="L601" s="30"/>
      <c r="M601" s="146"/>
      <c r="N601" s="146"/>
      <c r="O601" s="30"/>
      <c r="P601" s="35"/>
      <c r="Q601" s="109"/>
    </row>
    <row r="602" spans="12:17" x14ac:dyDescent="0.25">
      <c r="L602" s="30"/>
      <c r="M602" s="146"/>
      <c r="N602" s="146"/>
      <c r="O602" s="30"/>
      <c r="P602" s="35"/>
      <c r="Q602" s="109"/>
    </row>
    <row r="603" spans="12:17" x14ac:dyDescent="0.25">
      <c r="L603" s="30"/>
      <c r="M603" s="146"/>
      <c r="N603" s="146"/>
      <c r="O603" s="30"/>
      <c r="P603" s="35"/>
      <c r="Q603" s="109"/>
    </row>
    <row r="604" spans="12:17" x14ac:dyDescent="0.25">
      <c r="L604" s="30"/>
      <c r="M604" s="146"/>
      <c r="N604" s="146"/>
      <c r="O604" s="30"/>
      <c r="P604" s="35"/>
      <c r="Q604" s="109"/>
    </row>
    <row r="605" spans="12:17" x14ac:dyDescent="0.25">
      <c r="L605" s="30"/>
      <c r="M605" s="146"/>
      <c r="N605" s="146"/>
      <c r="O605" s="30"/>
      <c r="P605" s="35"/>
      <c r="Q605" s="109"/>
    </row>
    <row r="606" spans="12:17" x14ac:dyDescent="0.25">
      <c r="L606" s="30"/>
      <c r="M606" s="146"/>
      <c r="N606" s="146"/>
      <c r="O606" s="30"/>
      <c r="P606" s="35"/>
      <c r="Q606" s="109"/>
    </row>
    <row r="607" spans="12:17" x14ac:dyDescent="0.25">
      <c r="L607" s="30"/>
      <c r="M607" s="146"/>
      <c r="N607" s="146"/>
      <c r="O607" s="30"/>
      <c r="P607" s="35"/>
      <c r="Q607" s="109"/>
    </row>
    <row r="608" spans="12:17" x14ac:dyDescent="0.25">
      <c r="L608" s="30"/>
      <c r="M608" s="146"/>
      <c r="N608" s="146"/>
      <c r="O608" s="30"/>
      <c r="P608" s="35"/>
      <c r="Q608" s="109"/>
    </row>
    <row r="609" spans="12:17" x14ac:dyDescent="0.25">
      <c r="L609" s="30"/>
      <c r="M609" s="146"/>
      <c r="N609" s="146"/>
      <c r="O609" s="30"/>
      <c r="P609" s="35"/>
      <c r="Q609" s="109"/>
    </row>
    <row r="610" spans="12:17" x14ac:dyDescent="0.25">
      <c r="L610" s="30"/>
      <c r="M610" s="146"/>
      <c r="N610" s="146"/>
      <c r="O610" s="30"/>
      <c r="P610" s="35"/>
      <c r="Q610" s="109"/>
    </row>
    <row r="611" spans="12:17" x14ac:dyDescent="0.25">
      <c r="L611" s="30"/>
      <c r="M611" s="146"/>
      <c r="N611" s="146"/>
      <c r="O611" s="30"/>
      <c r="P611" s="35"/>
      <c r="Q611" s="109"/>
    </row>
    <row r="612" spans="12:17" x14ac:dyDescent="0.25">
      <c r="L612" s="30"/>
      <c r="M612" s="146"/>
      <c r="N612" s="146"/>
      <c r="O612" s="30"/>
      <c r="P612" s="35"/>
      <c r="Q612" s="109"/>
    </row>
    <row r="613" spans="12:17" x14ac:dyDescent="0.25">
      <c r="L613" s="30"/>
      <c r="M613" s="146"/>
      <c r="N613" s="146"/>
      <c r="O613" s="30"/>
      <c r="P613" s="35"/>
      <c r="Q613" s="109"/>
    </row>
    <row r="614" spans="12:17" x14ac:dyDescent="0.25">
      <c r="L614" s="30"/>
      <c r="M614" s="265"/>
      <c r="N614" s="146"/>
      <c r="O614" s="30"/>
      <c r="P614" s="35"/>
      <c r="Q614" s="109"/>
    </row>
    <row r="615" spans="12:17" x14ac:dyDescent="0.25">
      <c r="L615" s="30"/>
      <c r="M615" s="328"/>
      <c r="N615" s="146"/>
      <c r="O615" s="30"/>
      <c r="P615" s="35"/>
      <c r="Q615" s="109"/>
    </row>
    <row r="616" spans="12:17" x14ac:dyDescent="0.25">
      <c r="L616" s="30"/>
      <c r="M616" s="265"/>
      <c r="N616" s="146"/>
      <c r="O616" s="30"/>
      <c r="P616" s="35"/>
      <c r="Q616" s="109"/>
    </row>
    <row r="617" spans="12:17" x14ac:dyDescent="0.25">
      <c r="L617" s="30"/>
      <c r="M617" s="328"/>
      <c r="N617" s="146"/>
      <c r="O617" s="30"/>
      <c r="P617" s="35"/>
      <c r="Q617" s="109"/>
    </row>
    <row r="618" spans="12:17" x14ac:dyDescent="0.25">
      <c r="L618" s="30"/>
      <c r="M618" s="265"/>
      <c r="N618" s="146"/>
      <c r="O618" s="30"/>
      <c r="P618" s="35"/>
      <c r="Q618" s="109"/>
    </row>
    <row r="619" spans="12:17" x14ac:dyDescent="0.25">
      <c r="L619" s="30"/>
      <c r="M619" s="328"/>
      <c r="N619" s="146"/>
      <c r="O619" s="30"/>
      <c r="P619" s="35"/>
      <c r="Q619" s="109"/>
    </row>
    <row r="620" spans="12:17" x14ac:dyDescent="0.25">
      <c r="L620" s="30"/>
      <c r="M620" s="265"/>
      <c r="N620" s="146"/>
      <c r="O620" s="30"/>
      <c r="P620" s="35"/>
      <c r="Q620" s="109"/>
    </row>
    <row r="621" spans="12:17" x14ac:dyDescent="0.25">
      <c r="L621" s="30"/>
      <c r="M621" s="328"/>
      <c r="N621" s="146"/>
      <c r="O621" s="30"/>
      <c r="P621" s="35"/>
      <c r="Q621" s="109"/>
    </row>
    <row r="622" spans="12:17" x14ac:dyDescent="0.25">
      <c r="L622" s="30"/>
      <c r="M622" s="265"/>
      <c r="N622" s="146"/>
      <c r="O622" s="30"/>
      <c r="P622" s="35"/>
      <c r="Q622" s="109"/>
    </row>
    <row r="623" spans="12:17" x14ac:dyDescent="0.25">
      <c r="L623" s="30"/>
      <c r="M623" s="328"/>
      <c r="N623" s="146"/>
      <c r="O623" s="30"/>
      <c r="P623" s="35"/>
      <c r="Q623" s="109"/>
    </row>
    <row r="624" spans="12:17" x14ac:dyDescent="0.25">
      <c r="L624" s="30"/>
      <c r="M624" s="265"/>
      <c r="N624" s="146"/>
      <c r="O624" s="30"/>
      <c r="P624" s="35"/>
      <c r="Q624" s="109"/>
    </row>
    <row r="625" spans="12:17" x14ac:dyDescent="0.25">
      <c r="L625" s="30"/>
      <c r="M625" s="328"/>
      <c r="N625" s="146"/>
      <c r="O625" s="30"/>
      <c r="P625" s="35"/>
      <c r="Q625" s="109"/>
    </row>
    <row r="626" spans="12:17" x14ac:dyDescent="0.25">
      <c r="L626" s="30"/>
      <c r="M626" s="265"/>
      <c r="N626" s="146"/>
      <c r="O626" s="30"/>
      <c r="P626" s="35"/>
      <c r="Q626" s="109"/>
    </row>
    <row r="627" spans="12:17" x14ac:dyDescent="0.25">
      <c r="L627" s="30"/>
      <c r="M627" s="328"/>
      <c r="N627" s="146"/>
      <c r="O627" s="30"/>
      <c r="P627" s="35"/>
      <c r="Q627" s="109"/>
    </row>
    <row r="628" spans="12:17" x14ac:dyDescent="0.25">
      <c r="L628" s="30"/>
      <c r="M628" s="265"/>
      <c r="N628" s="146"/>
      <c r="O628" s="30"/>
      <c r="P628" s="35"/>
      <c r="Q628" s="109"/>
    </row>
    <row r="629" spans="12:17" x14ac:dyDescent="0.25">
      <c r="L629" s="30"/>
      <c r="M629" s="328"/>
      <c r="N629" s="146"/>
      <c r="O629" s="30"/>
      <c r="P629" s="35"/>
      <c r="Q629" s="109"/>
    </row>
    <row r="630" spans="12:17" x14ac:dyDescent="0.25">
      <c r="L630" s="30"/>
      <c r="M630" s="265"/>
      <c r="N630" s="327"/>
      <c r="O630" s="30"/>
      <c r="P630" s="108"/>
      <c r="Q630" s="34"/>
    </row>
    <row r="631" spans="12:17" x14ac:dyDescent="0.25">
      <c r="N631" s="53"/>
    </row>
    <row r="632" spans="12:17" x14ac:dyDescent="0.25">
      <c r="N632" s="53"/>
    </row>
    <row r="633" spans="12:17" x14ac:dyDescent="0.25">
      <c r="N633" s="53"/>
    </row>
    <row r="634" spans="12:17" x14ac:dyDescent="0.25">
      <c r="N634" s="53"/>
    </row>
    <row r="635" spans="12:17" x14ac:dyDescent="0.25">
      <c r="N635" s="53"/>
    </row>
    <row r="636" spans="12:17" x14ac:dyDescent="0.25">
      <c r="N636" s="53"/>
    </row>
    <row r="637" spans="12:17" x14ac:dyDescent="0.25">
      <c r="N637" s="53"/>
    </row>
    <row r="638" spans="12:17" x14ac:dyDescent="0.25">
      <c r="N638" s="53"/>
    </row>
    <row r="639" spans="12:17" x14ac:dyDescent="0.25">
      <c r="N639" s="53"/>
    </row>
    <row r="640" spans="12:17" x14ac:dyDescent="0.25">
      <c r="N640" s="53"/>
    </row>
    <row r="641" spans="14:14" x14ac:dyDescent="0.25">
      <c r="N641" s="53"/>
    </row>
    <row r="642" spans="14:14" x14ac:dyDescent="0.25">
      <c r="N642" s="53"/>
    </row>
    <row r="643" spans="14:14" x14ac:dyDescent="0.25">
      <c r="N643" s="53"/>
    </row>
    <row r="644" spans="14:14" x14ac:dyDescent="0.25">
      <c r="N644" s="53"/>
    </row>
    <row r="645" spans="14:14" x14ac:dyDescent="0.25">
      <c r="N645" s="53"/>
    </row>
    <row r="646" spans="14:14" x14ac:dyDescent="0.25">
      <c r="N646" s="53"/>
    </row>
    <row r="647" spans="14:14" x14ac:dyDescent="0.25">
      <c r="N647" s="53"/>
    </row>
    <row r="648" spans="14:14" x14ac:dyDescent="0.25">
      <c r="N648" s="53"/>
    </row>
    <row r="649" spans="14:14" x14ac:dyDescent="0.25">
      <c r="N649" s="53"/>
    </row>
    <row r="650" spans="14:14" x14ac:dyDescent="0.25">
      <c r="N650" s="53"/>
    </row>
    <row r="651" spans="14:14" x14ac:dyDescent="0.25">
      <c r="N651" s="53"/>
    </row>
    <row r="652" spans="14:14" x14ac:dyDescent="0.25">
      <c r="N652" s="53"/>
    </row>
    <row r="653" spans="14:14" x14ac:dyDescent="0.25">
      <c r="N653" s="53"/>
    </row>
    <row r="654" spans="14:14" x14ac:dyDescent="0.25">
      <c r="N654" s="53"/>
    </row>
    <row r="655" spans="14:14" x14ac:dyDescent="0.25">
      <c r="N655" s="53"/>
    </row>
    <row r="656" spans="14:14" x14ac:dyDescent="0.25">
      <c r="N656" s="53"/>
    </row>
    <row r="657" spans="14:14" x14ac:dyDescent="0.25">
      <c r="N657" s="53"/>
    </row>
    <row r="658" spans="14:14" x14ac:dyDescent="0.25">
      <c r="N658" s="53"/>
    </row>
    <row r="659" spans="14:14" x14ac:dyDescent="0.25">
      <c r="N659" s="53"/>
    </row>
    <row r="660" spans="14:14" x14ac:dyDescent="0.25">
      <c r="N660" s="53"/>
    </row>
    <row r="661" spans="14:14" x14ac:dyDescent="0.25">
      <c r="N661" s="53"/>
    </row>
    <row r="662" spans="14:14" x14ac:dyDescent="0.25">
      <c r="N662" s="53"/>
    </row>
    <row r="663" spans="14:14" x14ac:dyDescent="0.25">
      <c r="N663" s="53"/>
    </row>
    <row r="664" spans="14:14" x14ac:dyDescent="0.25">
      <c r="N664" s="53"/>
    </row>
    <row r="665" spans="14:14" x14ac:dyDescent="0.25">
      <c r="N665" s="53"/>
    </row>
    <row r="666" spans="14:14" x14ac:dyDescent="0.25">
      <c r="N666" s="53"/>
    </row>
    <row r="667" spans="14:14" x14ac:dyDescent="0.25">
      <c r="N667" s="53"/>
    </row>
    <row r="668" spans="14:14" x14ac:dyDescent="0.25">
      <c r="N668" s="53"/>
    </row>
    <row r="669" spans="14:14" x14ac:dyDescent="0.25">
      <c r="N669" s="53"/>
    </row>
    <row r="670" spans="14:14" x14ac:dyDescent="0.25">
      <c r="N670" s="53"/>
    </row>
    <row r="671" spans="14:14" x14ac:dyDescent="0.25">
      <c r="N671" s="53"/>
    </row>
    <row r="672" spans="14:14" x14ac:dyDescent="0.25">
      <c r="N672" s="53"/>
    </row>
    <row r="673" spans="14:14" x14ac:dyDescent="0.25">
      <c r="N673" s="53"/>
    </row>
    <row r="674" spans="14:14" x14ac:dyDescent="0.25">
      <c r="N674" s="53"/>
    </row>
    <row r="675" spans="14:14" x14ac:dyDescent="0.25">
      <c r="N675" s="53"/>
    </row>
    <row r="676" spans="14:14" x14ac:dyDescent="0.25">
      <c r="N676" s="53"/>
    </row>
    <row r="677" spans="14:14" x14ac:dyDescent="0.25">
      <c r="N677" s="53"/>
    </row>
    <row r="678" spans="14:14" x14ac:dyDescent="0.25">
      <c r="N678" s="53"/>
    </row>
    <row r="679" spans="14:14" x14ac:dyDescent="0.25">
      <c r="N679" s="53"/>
    </row>
    <row r="680" spans="14:14" x14ac:dyDescent="0.25">
      <c r="N680" s="53"/>
    </row>
    <row r="681" spans="14:14" x14ac:dyDescent="0.25">
      <c r="N681" s="53"/>
    </row>
    <row r="682" spans="14:14" x14ac:dyDescent="0.25">
      <c r="N682" s="53"/>
    </row>
    <row r="683" spans="14:14" x14ac:dyDescent="0.25">
      <c r="N683" s="53"/>
    </row>
    <row r="684" spans="14:14" x14ac:dyDescent="0.25">
      <c r="N684" s="53"/>
    </row>
    <row r="685" spans="14:14" x14ac:dyDescent="0.25">
      <c r="N685" s="53"/>
    </row>
    <row r="686" spans="14:14" x14ac:dyDescent="0.25">
      <c r="N686" s="53"/>
    </row>
    <row r="687" spans="14:14" x14ac:dyDescent="0.25">
      <c r="N687" s="53"/>
    </row>
    <row r="688" spans="14:14" x14ac:dyDescent="0.25">
      <c r="N688" s="53"/>
    </row>
    <row r="689" spans="14:14" x14ac:dyDescent="0.25">
      <c r="N689" s="53"/>
    </row>
    <row r="690" spans="14:14" x14ac:dyDescent="0.25">
      <c r="N690" s="53"/>
    </row>
    <row r="691" spans="14:14" x14ac:dyDescent="0.25">
      <c r="N691" s="53"/>
    </row>
    <row r="692" spans="14:14" x14ac:dyDescent="0.25">
      <c r="N692" s="53"/>
    </row>
    <row r="693" spans="14:14" x14ac:dyDescent="0.25">
      <c r="N693" s="53"/>
    </row>
    <row r="694" spans="14:14" x14ac:dyDescent="0.25">
      <c r="N694" s="53"/>
    </row>
    <row r="695" spans="14:14" x14ac:dyDescent="0.25">
      <c r="N695" s="53"/>
    </row>
    <row r="696" spans="14:14" x14ac:dyDescent="0.25">
      <c r="N696" s="53"/>
    </row>
    <row r="697" spans="14:14" x14ac:dyDescent="0.25">
      <c r="N697" s="53"/>
    </row>
    <row r="698" spans="14:14" x14ac:dyDescent="0.25">
      <c r="N698" s="53"/>
    </row>
    <row r="699" spans="14:14" x14ac:dyDescent="0.25">
      <c r="N699" s="53"/>
    </row>
    <row r="700" spans="14:14" x14ac:dyDescent="0.25">
      <c r="N700" s="53"/>
    </row>
    <row r="701" spans="14:14" x14ac:dyDescent="0.25">
      <c r="N701" s="53"/>
    </row>
    <row r="702" spans="14:14" x14ac:dyDescent="0.25">
      <c r="N702" s="53"/>
    </row>
    <row r="703" spans="14:14" x14ac:dyDescent="0.25">
      <c r="N703" s="53"/>
    </row>
    <row r="704" spans="14:14" x14ac:dyDescent="0.25">
      <c r="N704" s="53"/>
    </row>
    <row r="705" spans="14:14" x14ac:dyDescent="0.25">
      <c r="N705" s="53"/>
    </row>
    <row r="706" spans="14:14" x14ac:dyDescent="0.25">
      <c r="N706" s="53"/>
    </row>
    <row r="707" spans="14:14" x14ac:dyDescent="0.25">
      <c r="N707" s="53"/>
    </row>
    <row r="708" spans="14:14" x14ac:dyDescent="0.25">
      <c r="N708" s="53"/>
    </row>
    <row r="709" spans="14:14" x14ac:dyDescent="0.25">
      <c r="N709" s="53"/>
    </row>
    <row r="710" spans="14:14" x14ac:dyDescent="0.25">
      <c r="N710" s="53"/>
    </row>
    <row r="711" spans="14:14" x14ac:dyDescent="0.25">
      <c r="N711" s="53"/>
    </row>
    <row r="712" spans="14:14" x14ac:dyDescent="0.25">
      <c r="N712" s="53"/>
    </row>
    <row r="713" spans="14:14" x14ac:dyDescent="0.25">
      <c r="N713" s="53"/>
    </row>
    <row r="714" spans="14:14" x14ac:dyDescent="0.25">
      <c r="N714" s="53"/>
    </row>
    <row r="715" spans="14:14" x14ac:dyDescent="0.25">
      <c r="N715" s="53"/>
    </row>
    <row r="716" spans="14:14" x14ac:dyDescent="0.25">
      <c r="N716" s="53"/>
    </row>
    <row r="717" spans="14:14" x14ac:dyDescent="0.25">
      <c r="N717" s="53"/>
    </row>
    <row r="718" spans="14:14" x14ac:dyDescent="0.25">
      <c r="N718" s="53"/>
    </row>
    <row r="719" spans="14:14" x14ac:dyDescent="0.25">
      <c r="N719" s="53"/>
    </row>
    <row r="720" spans="14:14" x14ac:dyDescent="0.25">
      <c r="N720" s="53"/>
    </row>
    <row r="721" spans="14:14" x14ac:dyDescent="0.25">
      <c r="N721" s="53"/>
    </row>
    <row r="722" spans="14:14" x14ac:dyDescent="0.25">
      <c r="N722" s="53"/>
    </row>
    <row r="723" spans="14:14" x14ac:dyDescent="0.25">
      <c r="N723" s="53"/>
    </row>
    <row r="724" spans="14:14" x14ac:dyDescent="0.25">
      <c r="N724" s="53"/>
    </row>
    <row r="725" spans="14:14" x14ac:dyDescent="0.25">
      <c r="N725" s="53"/>
    </row>
    <row r="726" spans="14:14" x14ac:dyDescent="0.25">
      <c r="N726" s="53"/>
    </row>
    <row r="727" spans="14:14" x14ac:dyDescent="0.25">
      <c r="N727" s="53"/>
    </row>
    <row r="728" spans="14:14" x14ac:dyDescent="0.25">
      <c r="N728" s="53"/>
    </row>
    <row r="729" spans="14:14" x14ac:dyDescent="0.25">
      <c r="N729" s="53"/>
    </row>
    <row r="730" spans="14:14" x14ac:dyDescent="0.25">
      <c r="N730" s="53"/>
    </row>
    <row r="731" spans="14:14" x14ac:dyDescent="0.25">
      <c r="N731" s="53"/>
    </row>
    <row r="732" spans="14:14" x14ac:dyDescent="0.25">
      <c r="N732" s="53"/>
    </row>
    <row r="733" spans="14:14" x14ac:dyDescent="0.25">
      <c r="N733" s="53"/>
    </row>
    <row r="734" spans="14:14" x14ac:dyDescent="0.25">
      <c r="N734" s="53"/>
    </row>
    <row r="735" spans="14:14" x14ac:dyDescent="0.25">
      <c r="N735" s="53"/>
    </row>
    <row r="736" spans="14:14" x14ac:dyDescent="0.25">
      <c r="N736" s="53"/>
    </row>
    <row r="737" spans="14:14" x14ac:dyDescent="0.25">
      <c r="N737" s="53"/>
    </row>
    <row r="738" spans="14:14" x14ac:dyDescent="0.25">
      <c r="N738" s="53"/>
    </row>
    <row r="739" spans="14:14" x14ac:dyDescent="0.25">
      <c r="N739" s="53"/>
    </row>
    <row r="740" spans="14:14" x14ac:dyDescent="0.25">
      <c r="N740" s="53"/>
    </row>
    <row r="741" spans="14:14" x14ac:dyDescent="0.25">
      <c r="N741" s="53"/>
    </row>
    <row r="742" spans="14:14" x14ac:dyDescent="0.25">
      <c r="N742" s="53"/>
    </row>
    <row r="743" spans="14:14" x14ac:dyDescent="0.25">
      <c r="N743" s="53"/>
    </row>
    <row r="744" spans="14:14" x14ac:dyDescent="0.25">
      <c r="N744" s="53"/>
    </row>
    <row r="745" spans="14:14" x14ac:dyDescent="0.25">
      <c r="N745" s="53"/>
    </row>
    <row r="746" spans="14:14" x14ac:dyDescent="0.25">
      <c r="N746" s="53"/>
    </row>
    <row r="747" spans="14:14" x14ac:dyDescent="0.25">
      <c r="N747" s="53"/>
    </row>
    <row r="748" spans="14:14" x14ac:dyDescent="0.25">
      <c r="N748" s="53"/>
    </row>
    <row r="749" spans="14:14" x14ac:dyDescent="0.25">
      <c r="N749" s="53"/>
    </row>
    <row r="750" spans="14:14" x14ac:dyDescent="0.25">
      <c r="N750" s="53"/>
    </row>
    <row r="751" spans="14:14" x14ac:dyDescent="0.25">
      <c r="N751" s="53"/>
    </row>
    <row r="752" spans="14:14" x14ac:dyDescent="0.25">
      <c r="N752" s="53"/>
    </row>
    <row r="753" spans="14:14" x14ac:dyDescent="0.25">
      <c r="N753" s="53"/>
    </row>
    <row r="754" spans="14:14" x14ac:dyDescent="0.25">
      <c r="N754" s="53"/>
    </row>
    <row r="755" spans="14:14" x14ac:dyDescent="0.25">
      <c r="N755" s="53"/>
    </row>
    <row r="756" spans="14:14" x14ac:dyDescent="0.25">
      <c r="N756" s="53"/>
    </row>
    <row r="757" spans="14:14" x14ac:dyDescent="0.25">
      <c r="N757" s="53"/>
    </row>
    <row r="758" spans="14:14" x14ac:dyDescent="0.25">
      <c r="N758" s="53"/>
    </row>
    <row r="759" spans="14:14" x14ac:dyDescent="0.25">
      <c r="N759" s="53"/>
    </row>
    <row r="760" spans="14:14" x14ac:dyDescent="0.25">
      <c r="N760" s="53"/>
    </row>
    <row r="761" spans="14:14" x14ac:dyDescent="0.25">
      <c r="N761" s="53"/>
    </row>
    <row r="762" spans="14:14" x14ac:dyDescent="0.25">
      <c r="N762" s="53"/>
    </row>
    <row r="763" spans="14:14" x14ac:dyDescent="0.25">
      <c r="N763" s="53"/>
    </row>
    <row r="764" spans="14:14" x14ac:dyDescent="0.25">
      <c r="N764" s="53"/>
    </row>
    <row r="765" spans="14:14" x14ac:dyDescent="0.25">
      <c r="N765" s="53"/>
    </row>
    <row r="766" spans="14:14" x14ac:dyDescent="0.25">
      <c r="N766" s="53"/>
    </row>
    <row r="767" spans="14:14" x14ac:dyDescent="0.25">
      <c r="N767" s="53"/>
    </row>
    <row r="768" spans="14:14" x14ac:dyDescent="0.25">
      <c r="N768" s="53"/>
    </row>
    <row r="769" spans="14:14" x14ac:dyDescent="0.25">
      <c r="N769" s="53"/>
    </row>
    <row r="770" spans="14:14" x14ac:dyDescent="0.25">
      <c r="N770" s="53"/>
    </row>
    <row r="771" spans="14:14" x14ac:dyDescent="0.25">
      <c r="N771" s="53"/>
    </row>
    <row r="772" spans="14:14" x14ac:dyDescent="0.25">
      <c r="N772" s="53"/>
    </row>
    <row r="773" spans="14:14" x14ac:dyDescent="0.25">
      <c r="N773" s="53"/>
    </row>
    <row r="774" spans="14:14" x14ac:dyDescent="0.25">
      <c r="N774" s="53"/>
    </row>
    <row r="775" spans="14:14" x14ac:dyDescent="0.25">
      <c r="N775" s="53"/>
    </row>
    <row r="776" spans="14:14" x14ac:dyDescent="0.25">
      <c r="N776" s="53"/>
    </row>
    <row r="777" spans="14:14" x14ac:dyDescent="0.25">
      <c r="N777" s="53"/>
    </row>
    <row r="778" spans="14:14" x14ac:dyDescent="0.25">
      <c r="N778" s="53"/>
    </row>
    <row r="779" spans="14:14" x14ac:dyDescent="0.25">
      <c r="N779" s="53"/>
    </row>
    <row r="780" spans="14:14" x14ac:dyDescent="0.25">
      <c r="N780" s="53"/>
    </row>
    <row r="781" spans="14:14" x14ac:dyDescent="0.25">
      <c r="N781" s="53"/>
    </row>
    <row r="782" spans="14:14" x14ac:dyDescent="0.25">
      <c r="N782" s="53"/>
    </row>
    <row r="783" spans="14:14" x14ac:dyDescent="0.25">
      <c r="N783" s="53"/>
    </row>
    <row r="784" spans="14:14" x14ac:dyDescent="0.25">
      <c r="N784" s="53"/>
    </row>
    <row r="785" spans="14:14" x14ac:dyDescent="0.25">
      <c r="N785" s="53"/>
    </row>
    <row r="786" spans="14:14" x14ac:dyDescent="0.25">
      <c r="N786" s="53"/>
    </row>
    <row r="787" spans="14:14" x14ac:dyDescent="0.25">
      <c r="N787" s="53"/>
    </row>
    <row r="788" spans="14:14" x14ac:dyDescent="0.25">
      <c r="N788" s="53"/>
    </row>
    <row r="789" spans="14:14" x14ac:dyDescent="0.25">
      <c r="N789" s="53"/>
    </row>
    <row r="790" spans="14:14" x14ac:dyDescent="0.25">
      <c r="N790" s="53"/>
    </row>
    <row r="791" spans="14:14" x14ac:dyDescent="0.25">
      <c r="N791" s="53"/>
    </row>
    <row r="792" spans="14:14" x14ac:dyDescent="0.25">
      <c r="N792" s="53"/>
    </row>
    <row r="793" spans="14:14" x14ac:dyDescent="0.25">
      <c r="N793" s="53"/>
    </row>
    <row r="794" spans="14:14" x14ac:dyDescent="0.25">
      <c r="N794" s="53"/>
    </row>
    <row r="795" spans="14:14" x14ac:dyDescent="0.25">
      <c r="N795" s="53"/>
    </row>
    <row r="796" spans="14:14" x14ac:dyDescent="0.25">
      <c r="N796" s="53"/>
    </row>
    <row r="797" spans="14:14" x14ac:dyDescent="0.25">
      <c r="N797" s="53"/>
    </row>
    <row r="798" spans="14:14" x14ac:dyDescent="0.25">
      <c r="N798" s="53"/>
    </row>
    <row r="799" spans="14:14" x14ac:dyDescent="0.25">
      <c r="N799" s="53"/>
    </row>
    <row r="800" spans="14:14" x14ac:dyDescent="0.25">
      <c r="N800" s="53"/>
    </row>
    <row r="801" spans="14:14" x14ac:dyDescent="0.25">
      <c r="N801" s="53"/>
    </row>
    <row r="802" spans="14:14" x14ac:dyDescent="0.25">
      <c r="N802" s="53"/>
    </row>
    <row r="803" spans="14:14" x14ac:dyDescent="0.25">
      <c r="N803" s="53"/>
    </row>
    <row r="804" spans="14:14" x14ac:dyDescent="0.25">
      <c r="N804" s="53"/>
    </row>
    <row r="805" spans="14:14" x14ac:dyDescent="0.25">
      <c r="N805" s="53"/>
    </row>
    <row r="806" spans="14:14" x14ac:dyDescent="0.25">
      <c r="N806" s="53"/>
    </row>
    <row r="807" spans="14:14" x14ac:dyDescent="0.25">
      <c r="N807" s="53"/>
    </row>
    <row r="808" spans="14:14" x14ac:dyDescent="0.25">
      <c r="N808" s="53"/>
    </row>
    <row r="809" spans="14:14" x14ac:dyDescent="0.25">
      <c r="N809" s="53"/>
    </row>
    <row r="810" spans="14:14" x14ac:dyDescent="0.25">
      <c r="N810" s="53"/>
    </row>
    <row r="811" spans="14:14" x14ac:dyDescent="0.25">
      <c r="N811" s="53"/>
    </row>
    <row r="812" spans="14:14" x14ac:dyDescent="0.25">
      <c r="N812" s="53"/>
    </row>
    <row r="813" spans="14:14" x14ac:dyDescent="0.25">
      <c r="N813" s="53"/>
    </row>
    <row r="814" spans="14:14" x14ac:dyDescent="0.25">
      <c r="N814" s="53"/>
    </row>
    <row r="815" spans="14:14" x14ac:dyDescent="0.25">
      <c r="N815" s="53"/>
    </row>
    <row r="816" spans="14:14" x14ac:dyDescent="0.25">
      <c r="N816" s="53"/>
    </row>
    <row r="817" spans="14:14" x14ac:dyDescent="0.25">
      <c r="N817" s="53"/>
    </row>
    <row r="818" spans="14:14" x14ac:dyDescent="0.25">
      <c r="N818" s="53"/>
    </row>
    <row r="819" spans="14:14" x14ac:dyDescent="0.25">
      <c r="N819" s="53"/>
    </row>
    <row r="820" spans="14:14" x14ac:dyDescent="0.25">
      <c r="N820" s="53"/>
    </row>
    <row r="821" spans="14:14" x14ac:dyDescent="0.25">
      <c r="N821" s="53"/>
    </row>
    <row r="822" spans="14:14" x14ac:dyDescent="0.25">
      <c r="N822" s="53"/>
    </row>
    <row r="823" spans="14:14" x14ac:dyDescent="0.25">
      <c r="N823" s="53"/>
    </row>
    <row r="824" spans="14:14" x14ac:dyDescent="0.25">
      <c r="N824" s="53"/>
    </row>
    <row r="825" spans="14:14" x14ac:dyDescent="0.25">
      <c r="N825" s="53"/>
    </row>
    <row r="826" spans="14:14" x14ac:dyDescent="0.25">
      <c r="N826" s="53"/>
    </row>
    <row r="827" spans="14:14" x14ac:dyDescent="0.25">
      <c r="N827" s="53"/>
    </row>
    <row r="828" spans="14:14" x14ac:dyDescent="0.25">
      <c r="N828" s="53"/>
    </row>
    <row r="829" spans="14:14" x14ac:dyDescent="0.25">
      <c r="N829" s="53"/>
    </row>
    <row r="830" spans="14:14" x14ac:dyDescent="0.25">
      <c r="N830" s="53"/>
    </row>
    <row r="831" spans="14:14" x14ac:dyDescent="0.25">
      <c r="N831" s="53"/>
    </row>
    <row r="832" spans="14:14" x14ac:dyDescent="0.25">
      <c r="N832" s="53"/>
    </row>
    <row r="833" spans="14:14" x14ac:dyDescent="0.25">
      <c r="N833" s="53"/>
    </row>
    <row r="834" spans="14:14" x14ac:dyDescent="0.25">
      <c r="N834" s="53"/>
    </row>
    <row r="835" spans="14:14" x14ac:dyDescent="0.25">
      <c r="N835" s="53"/>
    </row>
    <row r="836" spans="14:14" x14ac:dyDescent="0.25">
      <c r="N836" s="53"/>
    </row>
    <row r="837" spans="14:14" x14ac:dyDescent="0.25">
      <c r="N837" s="53"/>
    </row>
    <row r="838" spans="14:14" x14ac:dyDescent="0.25">
      <c r="N838" s="53"/>
    </row>
    <row r="839" spans="14:14" x14ac:dyDescent="0.25">
      <c r="N839" s="53"/>
    </row>
    <row r="840" spans="14:14" x14ac:dyDescent="0.25">
      <c r="N840" s="53"/>
    </row>
    <row r="841" spans="14:14" x14ac:dyDescent="0.25">
      <c r="N841" s="53"/>
    </row>
    <row r="842" spans="14:14" x14ac:dyDescent="0.25">
      <c r="N842" s="53"/>
    </row>
    <row r="843" spans="14:14" x14ac:dyDescent="0.25">
      <c r="N843" s="53"/>
    </row>
    <row r="844" spans="14:14" x14ac:dyDescent="0.25">
      <c r="N844" s="53"/>
    </row>
    <row r="845" spans="14:14" x14ac:dyDescent="0.25">
      <c r="N845" s="53"/>
    </row>
    <row r="846" spans="14:14" x14ac:dyDescent="0.25">
      <c r="N846" s="53"/>
    </row>
    <row r="847" spans="14:14" x14ac:dyDescent="0.25">
      <c r="N847" s="53"/>
    </row>
    <row r="848" spans="14:14" x14ac:dyDescent="0.25">
      <c r="N848" s="53"/>
    </row>
    <row r="849" spans="14:14" x14ac:dyDescent="0.25">
      <c r="N849" s="53"/>
    </row>
    <row r="850" spans="14:14" x14ac:dyDescent="0.25">
      <c r="N850" s="53"/>
    </row>
    <row r="851" spans="14:14" x14ac:dyDescent="0.25">
      <c r="N851" s="53"/>
    </row>
    <row r="852" spans="14:14" x14ac:dyDescent="0.25">
      <c r="N852" s="53"/>
    </row>
    <row r="853" spans="14:14" x14ac:dyDescent="0.25">
      <c r="N853" s="53"/>
    </row>
    <row r="854" spans="14:14" x14ac:dyDescent="0.25">
      <c r="N854" s="53"/>
    </row>
    <row r="855" spans="14:14" x14ac:dyDescent="0.25">
      <c r="N855" s="53"/>
    </row>
    <row r="856" spans="14:14" x14ac:dyDescent="0.25">
      <c r="N856" s="53"/>
    </row>
    <row r="857" spans="14:14" x14ac:dyDescent="0.25">
      <c r="N857" s="53"/>
    </row>
    <row r="858" spans="14:14" x14ac:dyDescent="0.25">
      <c r="N858" s="53"/>
    </row>
    <row r="859" spans="14:14" x14ac:dyDescent="0.25">
      <c r="N859" s="53"/>
    </row>
    <row r="860" spans="14:14" x14ac:dyDescent="0.25">
      <c r="N860" s="53"/>
    </row>
    <row r="861" spans="14:14" x14ac:dyDescent="0.25">
      <c r="N861" s="53"/>
    </row>
    <row r="862" spans="14:14" x14ac:dyDescent="0.25">
      <c r="N862" s="53"/>
    </row>
    <row r="863" spans="14:14" x14ac:dyDescent="0.25">
      <c r="N863" s="53"/>
    </row>
    <row r="864" spans="14:14" x14ac:dyDescent="0.25">
      <c r="N864" s="53"/>
    </row>
    <row r="865" spans="14:14" x14ac:dyDescent="0.25">
      <c r="N865" s="53"/>
    </row>
    <row r="866" spans="14:14" x14ac:dyDescent="0.25">
      <c r="N866" s="53"/>
    </row>
    <row r="867" spans="14:14" x14ac:dyDescent="0.25">
      <c r="N867" s="53"/>
    </row>
    <row r="868" spans="14:14" x14ac:dyDescent="0.25">
      <c r="N868" s="53"/>
    </row>
    <row r="869" spans="14:14" x14ac:dyDescent="0.25">
      <c r="N869" s="53"/>
    </row>
    <row r="870" spans="14:14" x14ac:dyDescent="0.25">
      <c r="N870" s="53"/>
    </row>
    <row r="871" spans="14:14" x14ac:dyDescent="0.25">
      <c r="N871" s="53"/>
    </row>
    <row r="872" spans="14:14" x14ac:dyDescent="0.25">
      <c r="N872" s="53"/>
    </row>
    <row r="873" spans="14:14" x14ac:dyDescent="0.25">
      <c r="N873" s="53"/>
    </row>
    <row r="874" spans="14:14" x14ac:dyDescent="0.25">
      <c r="N874" s="53"/>
    </row>
    <row r="875" spans="14:14" x14ac:dyDescent="0.25">
      <c r="N875" s="53"/>
    </row>
    <row r="876" spans="14:14" x14ac:dyDescent="0.25">
      <c r="N876" s="53"/>
    </row>
    <row r="877" spans="14:14" x14ac:dyDescent="0.25">
      <c r="N877" s="53"/>
    </row>
    <row r="878" spans="14:14" x14ac:dyDescent="0.25">
      <c r="N878" s="53"/>
    </row>
    <row r="879" spans="14:14" x14ac:dyDescent="0.25">
      <c r="N879" s="53"/>
    </row>
    <row r="880" spans="14:14" x14ac:dyDescent="0.25">
      <c r="N880" s="53"/>
    </row>
    <row r="881" spans="14:14" x14ac:dyDescent="0.25">
      <c r="N881" s="53"/>
    </row>
    <row r="882" spans="14:14" x14ac:dyDescent="0.25">
      <c r="N882" s="53"/>
    </row>
    <row r="883" spans="14:14" x14ac:dyDescent="0.25">
      <c r="N883" s="53"/>
    </row>
    <row r="884" spans="14:14" x14ac:dyDescent="0.25">
      <c r="N884" s="53"/>
    </row>
    <row r="885" spans="14:14" x14ac:dyDescent="0.25">
      <c r="N885" s="53"/>
    </row>
    <row r="886" spans="14:14" x14ac:dyDescent="0.25">
      <c r="N886" s="53"/>
    </row>
    <row r="887" spans="14:14" x14ac:dyDescent="0.25">
      <c r="N887" s="53"/>
    </row>
    <row r="888" spans="14:14" x14ac:dyDescent="0.25">
      <c r="N888" s="53"/>
    </row>
    <row r="889" spans="14:14" x14ac:dyDescent="0.25">
      <c r="N889" s="53"/>
    </row>
    <row r="890" spans="14:14" x14ac:dyDescent="0.25">
      <c r="N890" s="53"/>
    </row>
    <row r="891" spans="14:14" x14ac:dyDescent="0.25">
      <c r="N891" s="53"/>
    </row>
    <row r="892" spans="14:14" x14ac:dyDescent="0.25">
      <c r="N892" s="53"/>
    </row>
    <row r="893" spans="14:14" x14ac:dyDescent="0.25">
      <c r="N893" s="53"/>
    </row>
    <row r="894" spans="14:14" x14ac:dyDescent="0.25">
      <c r="N894" s="53"/>
    </row>
    <row r="895" spans="14:14" x14ac:dyDescent="0.25">
      <c r="N895" s="53"/>
    </row>
    <row r="896" spans="14:14" x14ac:dyDescent="0.25">
      <c r="N896" s="53"/>
    </row>
    <row r="897" spans="14:14" x14ac:dyDescent="0.25">
      <c r="N897" s="53"/>
    </row>
    <row r="898" spans="14:14" x14ac:dyDescent="0.25">
      <c r="N898" s="53"/>
    </row>
    <row r="899" spans="14:14" x14ac:dyDescent="0.25">
      <c r="N899" s="53"/>
    </row>
    <row r="900" spans="14:14" x14ac:dyDescent="0.25">
      <c r="N900" s="53"/>
    </row>
    <row r="901" spans="14:14" x14ac:dyDescent="0.25">
      <c r="N901" s="53"/>
    </row>
    <row r="902" spans="14:14" x14ac:dyDescent="0.25">
      <c r="N902" s="53"/>
    </row>
    <row r="903" spans="14:14" x14ac:dyDescent="0.25">
      <c r="N903" s="53"/>
    </row>
    <row r="904" spans="14:14" x14ac:dyDescent="0.25">
      <c r="N904" s="53"/>
    </row>
    <row r="905" spans="14:14" x14ac:dyDescent="0.25">
      <c r="N905" s="53"/>
    </row>
    <row r="906" spans="14:14" x14ac:dyDescent="0.25">
      <c r="N906" s="53"/>
    </row>
    <row r="907" spans="14:14" x14ac:dyDescent="0.25">
      <c r="N907" s="53"/>
    </row>
    <row r="908" spans="14:14" x14ac:dyDescent="0.25">
      <c r="N908" s="53"/>
    </row>
    <row r="909" spans="14:14" x14ac:dyDescent="0.25">
      <c r="N909" s="53"/>
    </row>
    <row r="910" spans="14:14" x14ac:dyDescent="0.25">
      <c r="N910" s="53"/>
    </row>
    <row r="911" spans="14:14" x14ac:dyDescent="0.25">
      <c r="N911" s="53"/>
    </row>
    <row r="912" spans="14:14" x14ac:dyDescent="0.25">
      <c r="N912" s="53"/>
    </row>
    <row r="913" spans="14:14" x14ac:dyDescent="0.25">
      <c r="N913" s="53"/>
    </row>
    <row r="914" spans="14:14" x14ac:dyDescent="0.25">
      <c r="N914" s="53"/>
    </row>
    <row r="915" spans="14:14" x14ac:dyDescent="0.25">
      <c r="N915" s="53"/>
    </row>
    <row r="916" spans="14:14" x14ac:dyDescent="0.25">
      <c r="N916" s="53"/>
    </row>
    <row r="917" spans="14:14" x14ac:dyDescent="0.25">
      <c r="N917" s="53"/>
    </row>
    <row r="918" spans="14:14" x14ac:dyDescent="0.25">
      <c r="N918" s="53"/>
    </row>
    <row r="919" spans="14:14" x14ac:dyDescent="0.25">
      <c r="N919" s="53"/>
    </row>
    <row r="920" spans="14:14" x14ac:dyDescent="0.25">
      <c r="N920" s="53"/>
    </row>
    <row r="921" spans="14:14" x14ac:dyDescent="0.25">
      <c r="N921" s="53"/>
    </row>
    <row r="922" spans="14:14" x14ac:dyDescent="0.25">
      <c r="N922" s="53"/>
    </row>
    <row r="923" spans="14:14" x14ac:dyDescent="0.25">
      <c r="N923" s="53"/>
    </row>
    <row r="924" spans="14:14" x14ac:dyDescent="0.25">
      <c r="N924" s="53"/>
    </row>
    <row r="925" spans="14:14" x14ac:dyDescent="0.25">
      <c r="N925" s="53"/>
    </row>
    <row r="926" spans="14:14" x14ac:dyDescent="0.25">
      <c r="N926" s="53"/>
    </row>
    <row r="927" spans="14:14" x14ac:dyDescent="0.25">
      <c r="N927" s="53"/>
    </row>
    <row r="928" spans="14:14" x14ac:dyDescent="0.25">
      <c r="N928" s="53"/>
    </row>
    <row r="929" spans="14:14" x14ac:dyDescent="0.25">
      <c r="N929" s="53"/>
    </row>
    <row r="930" spans="14:14" x14ac:dyDescent="0.25">
      <c r="N930" s="53"/>
    </row>
    <row r="931" spans="14:14" x14ac:dyDescent="0.25">
      <c r="N931" s="53"/>
    </row>
    <row r="932" spans="14:14" x14ac:dyDescent="0.25">
      <c r="N932" s="53"/>
    </row>
    <row r="933" spans="14:14" x14ac:dyDescent="0.25">
      <c r="N933" s="53"/>
    </row>
    <row r="934" spans="14:14" x14ac:dyDescent="0.25">
      <c r="N934" s="53"/>
    </row>
    <row r="935" spans="14:14" x14ac:dyDescent="0.25">
      <c r="N935" s="53"/>
    </row>
    <row r="936" spans="14:14" x14ac:dyDescent="0.25">
      <c r="N936" s="53"/>
    </row>
    <row r="937" spans="14:14" x14ac:dyDescent="0.25">
      <c r="N937" s="53"/>
    </row>
    <row r="938" spans="14:14" x14ac:dyDescent="0.25">
      <c r="N938" s="53"/>
    </row>
    <row r="939" spans="14:14" x14ac:dyDescent="0.25">
      <c r="N939" s="53"/>
    </row>
    <row r="940" spans="14:14" x14ac:dyDescent="0.25">
      <c r="N940" s="53"/>
    </row>
    <row r="941" spans="14:14" x14ac:dyDescent="0.25">
      <c r="N941" s="53"/>
    </row>
    <row r="942" spans="14:14" x14ac:dyDescent="0.25">
      <c r="N942" s="53"/>
    </row>
    <row r="943" spans="14:14" x14ac:dyDescent="0.25">
      <c r="N943" s="53"/>
    </row>
    <row r="944" spans="14:14" x14ac:dyDescent="0.25">
      <c r="N944" s="53"/>
    </row>
    <row r="945" spans="14:14" x14ac:dyDescent="0.25">
      <c r="N945" s="53"/>
    </row>
    <row r="946" spans="14:14" x14ac:dyDescent="0.25">
      <c r="N946" s="53"/>
    </row>
    <row r="947" spans="14:14" x14ac:dyDescent="0.25">
      <c r="N947" s="53"/>
    </row>
    <row r="948" spans="14:14" x14ac:dyDescent="0.25">
      <c r="N948" s="53"/>
    </row>
    <row r="949" spans="14:14" x14ac:dyDescent="0.25">
      <c r="N949" s="53"/>
    </row>
    <row r="950" spans="14:14" x14ac:dyDescent="0.25">
      <c r="N950" s="53"/>
    </row>
    <row r="951" spans="14:14" x14ac:dyDescent="0.25">
      <c r="N951" s="53"/>
    </row>
    <row r="952" spans="14:14" x14ac:dyDescent="0.25">
      <c r="N952" s="53"/>
    </row>
    <row r="953" spans="14:14" x14ac:dyDescent="0.25">
      <c r="N953" s="53"/>
    </row>
    <row r="954" spans="14:14" x14ac:dyDescent="0.25">
      <c r="N954" s="53"/>
    </row>
    <row r="955" spans="14:14" x14ac:dyDescent="0.25">
      <c r="N955" s="53"/>
    </row>
    <row r="956" spans="14:14" x14ac:dyDescent="0.25">
      <c r="N956" s="53"/>
    </row>
    <row r="957" spans="14:14" x14ac:dyDescent="0.25">
      <c r="N957" s="53"/>
    </row>
    <row r="958" spans="14:14" x14ac:dyDescent="0.25">
      <c r="N958" s="53"/>
    </row>
    <row r="959" spans="14:14" x14ac:dyDescent="0.25">
      <c r="N959" s="53"/>
    </row>
    <row r="960" spans="14:14" x14ac:dyDescent="0.25">
      <c r="N960" s="53"/>
    </row>
    <row r="961" spans="14:14" x14ac:dyDescent="0.25">
      <c r="N961" s="53"/>
    </row>
    <row r="962" spans="14:14" x14ac:dyDescent="0.25">
      <c r="N962" s="53"/>
    </row>
    <row r="963" spans="14:14" x14ac:dyDescent="0.25">
      <c r="N963" s="53"/>
    </row>
    <row r="964" spans="14:14" x14ac:dyDescent="0.25">
      <c r="N964" s="53"/>
    </row>
    <row r="965" spans="14:14" x14ac:dyDescent="0.25">
      <c r="N965" s="53"/>
    </row>
    <row r="966" spans="14:14" x14ac:dyDescent="0.25">
      <c r="N966" s="53"/>
    </row>
    <row r="967" spans="14:14" x14ac:dyDescent="0.25">
      <c r="N967" s="53"/>
    </row>
    <row r="968" spans="14:14" x14ac:dyDescent="0.25">
      <c r="N968" s="53"/>
    </row>
    <row r="969" spans="14:14" x14ac:dyDescent="0.25">
      <c r="N969" s="53"/>
    </row>
    <row r="970" spans="14:14" x14ac:dyDescent="0.25">
      <c r="N970" s="53"/>
    </row>
    <row r="971" spans="14:14" x14ac:dyDescent="0.25">
      <c r="N971" s="53"/>
    </row>
    <row r="972" spans="14:14" x14ac:dyDescent="0.25">
      <c r="N972" s="53"/>
    </row>
    <row r="973" spans="14:14" x14ac:dyDescent="0.25">
      <c r="N973" s="53"/>
    </row>
    <row r="974" spans="14:14" x14ac:dyDescent="0.25">
      <c r="N974" s="53"/>
    </row>
    <row r="975" spans="14:14" x14ac:dyDescent="0.25">
      <c r="N975" s="53"/>
    </row>
    <row r="976" spans="14:14" x14ac:dyDescent="0.25">
      <c r="N976" s="53"/>
    </row>
    <row r="977" spans="14:14" x14ac:dyDescent="0.25">
      <c r="N977" s="53"/>
    </row>
    <row r="978" spans="14:14" x14ac:dyDescent="0.25">
      <c r="N978" s="53"/>
    </row>
    <row r="979" spans="14:14" x14ac:dyDescent="0.25">
      <c r="N979" s="53"/>
    </row>
    <row r="980" spans="14:14" x14ac:dyDescent="0.25">
      <c r="N980" s="53"/>
    </row>
    <row r="981" spans="14:14" x14ac:dyDescent="0.25">
      <c r="N981" s="53"/>
    </row>
    <row r="982" spans="14:14" x14ac:dyDescent="0.25">
      <c r="N982" s="53"/>
    </row>
    <row r="983" spans="14:14" x14ac:dyDescent="0.25">
      <c r="N983" s="53"/>
    </row>
    <row r="984" spans="14:14" x14ac:dyDescent="0.25">
      <c r="N984" s="53"/>
    </row>
    <row r="985" spans="14:14" x14ac:dyDescent="0.25">
      <c r="N985" s="53"/>
    </row>
    <row r="986" spans="14:14" x14ac:dyDescent="0.25">
      <c r="N986" s="53"/>
    </row>
    <row r="987" spans="14:14" x14ac:dyDescent="0.25">
      <c r="N987" s="53"/>
    </row>
    <row r="988" spans="14:14" x14ac:dyDescent="0.25">
      <c r="N988" s="53"/>
    </row>
    <row r="989" spans="14:14" x14ac:dyDescent="0.25">
      <c r="N989" s="53"/>
    </row>
    <row r="990" spans="14:14" x14ac:dyDescent="0.25">
      <c r="N990" s="53"/>
    </row>
    <row r="991" spans="14:14" x14ac:dyDescent="0.25">
      <c r="N991" s="53"/>
    </row>
    <row r="992" spans="14:14" x14ac:dyDescent="0.25">
      <c r="N992" s="53"/>
    </row>
    <row r="993" spans="14:14" x14ac:dyDescent="0.25">
      <c r="N993" s="53"/>
    </row>
    <row r="994" spans="14:14" x14ac:dyDescent="0.25">
      <c r="N994" s="53"/>
    </row>
    <row r="995" spans="14:14" x14ac:dyDescent="0.25">
      <c r="N995" s="53"/>
    </row>
    <row r="996" spans="14:14" x14ac:dyDescent="0.25">
      <c r="N996" s="53"/>
    </row>
    <row r="997" spans="14:14" x14ac:dyDescent="0.25">
      <c r="N997" s="53"/>
    </row>
    <row r="998" spans="14:14" x14ac:dyDescent="0.25">
      <c r="N998" s="53"/>
    </row>
    <row r="999" spans="14:14" x14ac:dyDescent="0.25">
      <c r="N999" s="53"/>
    </row>
    <row r="1000" spans="14:14" x14ac:dyDescent="0.25">
      <c r="N1000" s="53"/>
    </row>
    <row r="1001" spans="14:14" x14ac:dyDescent="0.25">
      <c r="N1001" s="53"/>
    </row>
    <row r="1002" spans="14:14" x14ac:dyDescent="0.25">
      <c r="N1002" s="53"/>
    </row>
    <row r="1003" spans="14:14" x14ac:dyDescent="0.25">
      <c r="N1003" s="53"/>
    </row>
    <row r="1004" spans="14:14" x14ac:dyDescent="0.25">
      <c r="N1004" s="53"/>
    </row>
    <row r="1005" spans="14:14" x14ac:dyDescent="0.25">
      <c r="N1005" s="53"/>
    </row>
    <row r="1006" spans="14:14" x14ac:dyDescent="0.25">
      <c r="N1006" s="53"/>
    </row>
    <row r="1007" spans="14:14" x14ac:dyDescent="0.25">
      <c r="N1007" s="53"/>
    </row>
    <row r="1008" spans="14:14" x14ac:dyDescent="0.25">
      <c r="N1008" s="53"/>
    </row>
    <row r="1009" spans="14:14" x14ac:dyDescent="0.25">
      <c r="N1009" s="53"/>
    </row>
    <row r="1010" spans="14:14" x14ac:dyDescent="0.25">
      <c r="N1010" s="53"/>
    </row>
    <row r="1011" spans="14:14" x14ac:dyDescent="0.25">
      <c r="N1011" s="53"/>
    </row>
    <row r="1012" spans="14:14" x14ac:dyDescent="0.25">
      <c r="N1012" s="53"/>
    </row>
    <row r="1013" spans="14:14" x14ac:dyDescent="0.25">
      <c r="N1013" s="53"/>
    </row>
    <row r="1014" spans="14:14" x14ac:dyDescent="0.25">
      <c r="N1014" s="53"/>
    </row>
    <row r="1015" spans="14:14" x14ac:dyDescent="0.25">
      <c r="N1015" s="53"/>
    </row>
    <row r="1016" spans="14:14" x14ac:dyDescent="0.25">
      <c r="N1016" s="53"/>
    </row>
    <row r="1017" spans="14:14" x14ac:dyDescent="0.25">
      <c r="N1017" s="53"/>
    </row>
    <row r="1018" spans="14:14" x14ac:dyDescent="0.25">
      <c r="N1018" s="53"/>
    </row>
    <row r="1019" spans="14:14" x14ac:dyDescent="0.25">
      <c r="N1019" s="53"/>
    </row>
    <row r="1020" spans="14:14" x14ac:dyDescent="0.25">
      <c r="N1020" s="53"/>
    </row>
    <row r="1021" spans="14:14" x14ac:dyDescent="0.25">
      <c r="N1021" s="53"/>
    </row>
    <row r="1022" spans="14:14" x14ac:dyDescent="0.25">
      <c r="N1022" s="53"/>
    </row>
    <row r="1023" spans="14:14" x14ac:dyDescent="0.25">
      <c r="N1023" s="53"/>
    </row>
    <row r="1024" spans="14:14" x14ac:dyDescent="0.25">
      <c r="N1024" s="53"/>
    </row>
    <row r="1025" spans="14:14" x14ac:dyDescent="0.25">
      <c r="N1025" s="53"/>
    </row>
    <row r="1026" spans="14:14" x14ac:dyDescent="0.25">
      <c r="N1026" s="53"/>
    </row>
    <row r="1027" spans="14:14" x14ac:dyDescent="0.25">
      <c r="N1027" s="53"/>
    </row>
    <row r="1028" spans="14:14" x14ac:dyDescent="0.25">
      <c r="N1028" s="53"/>
    </row>
    <row r="1029" spans="14:14" x14ac:dyDescent="0.25">
      <c r="N1029" s="53"/>
    </row>
    <row r="1030" spans="14:14" x14ac:dyDescent="0.25">
      <c r="N1030" s="53"/>
    </row>
    <row r="1031" spans="14:14" x14ac:dyDescent="0.25">
      <c r="N1031" s="53"/>
    </row>
    <row r="1032" spans="14:14" x14ac:dyDescent="0.25">
      <c r="N1032" s="53"/>
    </row>
    <row r="1033" spans="14:14" x14ac:dyDescent="0.25">
      <c r="N1033" s="53"/>
    </row>
    <row r="1034" spans="14:14" x14ac:dyDescent="0.25">
      <c r="N1034" s="53"/>
    </row>
    <row r="1035" spans="14:14" x14ac:dyDescent="0.25">
      <c r="N1035" s="53"/>
    </row>
    <row r="1036" spans="14:14" x14ac:dyDescent="0.25">
      <c r="N1036" s="53"/>
    </row>
    <row r="1037" spans="14:14" x14ac:dyDescent="0.25">
      <c r="N1037" s="53"/>
    </row>
    <row r="1038" spans="14:14" x14ac:dyDescent="0.25">
      <c r="N1038" s="53"/>
    </row>
    <row r="1039" spans="14:14" x14ac:dyDescent="0.25">
      <c r="N1039" s="53"/>
    </row>
    <row r="1040" spans="14:14" x14ac:dyDescent="0.25">
      <c r="N1040" s="53"/>
    </row>
    <row r="1041" spans="14:14" x14ac:dyDescent="0.25">
      <c r="N1041" s="53"/>
    </row>
    <row r="1042" spans="14:14" x14ac:dyDescent="0.25">
      <c r="N1042" s="53"/>
    </row>
    <row r="1043" spans="14:14" x14ac:dyDescent="0.25">
      <c r="N1043" s="53"/>
    </row>
    <row r="1044" spans="14:14" x14ac:dyDescent="0.25">
      <c r="N1044" s="53"/>
    </row>
    <row r="1045" spans="14:14" x14ac:dyDescent="0.25">
      <c r="N1045" s="53"/>
    </row>
    <row r="1046" spans="14:14" x14ac:dyDescent="0.25">
      <c r="N1046" s="53"/>
    </row>
    <row r="1047" spans="14:14" x14ac:dyDescent="0.25">
      <c r="N1047" s="53"/>
    </row>
    <row r="1048" spans="14:14" x14ac:dyDescent="0.25">
      <c r="N1048" s="53"/>
    </row>
    <row r="1049" spans="14:14" x14ac:dyDescent="0.25">
      <c r="N1049" s="53"/>
    </row>
    <row r="1050" spans="14:14" x14ac:dyDescent="0.25">
      <c r="N1050" s="53"/>
    </row>
    <row r="1051" spans="14:14" x14ac:dyDescent="0.25">
      <c r="N1051" s="53"/>
    </row>
    <row r="1052" spans="14:14" x14ac:dyDescent="0.25">
      <c r="N1052" s="53"/>
    </row>
    <row r="1053" spans="14:14" x14ac:dyDescent="0.25">
      <c r="N1053" s="53"/>
    </row>
    <row r="1054" spans="14:14" x14ac:dyDescent="0.25">
      <c r="N1054" s="53"/>
    </row>
    <row r="1055" spans="14:14" x14ac:dyDescent="0.25">
      <c r="N1055" s="53"/>
    </row>
    <row r="1056" spans="14:14" x14ac:dyDescent="0.25">
      <c r="N1056" s="53"/>
    </row>
    <row r="1057" spans="14:14" x14ac:dyDescent="0.25">
      <c r="N1057" s="53"/>
    </row>
    <row r="1058" spans="14:14" x14ac:dyDescent="0.25">
      <c r="N1058" s="53"/>
    </row>
    <row r="1059" spans="14:14" x14ac:dyDescent="0.25">
      <c r="N1059" s="53"/>
    </row>
    <row r="1060" spans="14:14" x14ac:dyDescent="0.25">
      <c r="N1060" s="53"/>
    </row>
    <row r="1061" spans="14:14" x14ac:dyDescent="0.25">
      <c r="N1061" s="53"/>
    </row>
    <row r="1062" spans="14:14" x14ac:dyDescent="0.25">
      <c r="N1062" s="53"/>
    </row>
    <row r="1063" spans="14:14" x14ac:dyDescent="0.25">
      <c r="N1063" s="53"/>
    </row>
    <row r="1064" spans="14:14" x14ac:dyDescent="0.25">
      <c r="N1064" s="53"/>
    </row>
    <row r="1065" spans="14:14" x14ac:dyDescent="0.25">
      <c r="N1065" s="53"/>
    </row>
    <row r="1066" spans="14:14" x14ac:dyDescent="0.25">
      <c r="N1066" s="53"/>
    </row>
    <row r="1067" spans="14:14" x14ac:dyDescent="0.25">
      <c r="N1067" s="53"/>
    </row>
    <row r="1068" spans="14:14" x14ac:dyDescent="0.25">
      <c r="N1068" s="53"/>
    </row>
    <row r="1069" spans="14:14" x14ac:dyDescent="0.25">
      <c r="N1069" s="53"/>
    </row>
    <row r="1070" spans="14:14" x14ac:dyDescent="0.25">
      <c r="N1070" s="53"/>
    </row>
    <row r="1071" spans="14:14" x14ac:dyDescent="0.25">
      <c r="N1071" s="53"/>
    </row>
    <row r="1072" spans="14:14" x14ac:dyDescent="0.25">
      <c r="N1072" s="53"/>
    </row>
    <row r="1073" spans="14:14" x14ac:dyDescent="0.25">
      <c r="N1073" s="53"/>
    </row>
    <row r="1074" spans="14:14" x14ac:dyDescent="0.25">
      <c r="N1074" s="53"/>
    </row>
    <row r="1075" spans="14:14" x14ac:dyDescent="0.25">
      <c r="N1075" s="53"/>
    </row>
    <row r="1076" spans="14:14" x14ac:dyDescent="0.25">
      <c r="N1076" s="53"/>
    </row>
    <row r="1077" spans="14:14" x14ac:dyDescent="0.25">
      <c r="N1077" s="53"/>
    </row>
    <row r="1078" spans="14:14" x14ac:dyDescent="0.25">
      <c r="N1078" s="53"/>
    </row>
    <row r="1079" spans="14:14" x14ac:dyDescent="0.25">
      <c r="N1079" s="53"/>
    </row>
    <row r="1080" spans="14:14" x14ac:dyDescent="0.25">
      <c r="N1080" s="53"/>
    </row>
    <row r="1081" spans="14:14" x14ac:dyDescent="0.25">
      <c r="N1081" s="53"/>
    </row>
    <row r="1082" spans="14:14" x14ac:dyDescent="0.25">
      <c r="N1082" s="53"/>
    </row>
    <row r="1083" spans="14:14" x14ac:dyDescent="0.25">
      <c r="N1083" s="53"/>
    </row>
    <row r="1084" spans="14:14" x14ac:dyDescent="0.25">
      <c r="N1084" s="53"/>
    </row>
    <row r="1085" spans="14:14" x14ac:dyDescent="0.25">
      <c r="N1085" s="53"/>
    </row>
    <row r="1086" spans="14:14" x14ac:dyDescent="0.25">
      <c r="N1086" s="53"/>
    </row>
    <row r="1087" spans="14:14" x14ac:dyDescent="0.25">
      <c r="N1087" s="53"/>
    </row>
    <row r="1088" spans="14:14" x14ac:dyDescent="0.25">
      <c r="N1088" s="53"/>
    </row>
    <row r="1089" spans="14:14" x14ac:dyDescent="0.25">
      <c r="N1089" s="53"/>
    </row>
    <row r="1090" spans="14:14" x14ac:dyDescent="0.25">
      <c r="N1090" s="53"/>
    </row>
    <row r="1091" spans="14:14" x14ac:dyDescent="0.25">
      <c r="N1091" s="53"/>
    </row>
    <row r="1092" spans="14:14" x14ac:dyDescent="0.25">
      <c r="N1092" s="53"/>
    </row>
    <row r="1093" spans="14:14" x14ac:dyDescent="0.25">
      <c r="N1093" s="53"/>
    </row>
    <row r="1094" spans="14:14" x14ac:dyDescent="0.25">
      <c r="N1094" s="53"/>
    </row>
    <row r="1095" spans="14:14" x14ac:dyDescent="0.25">
      <c r="N1095" s="53"/>
    </row>
    <row r="1096" spans="14:14" x14ac:dyDescent="0.25">
      <c r="N1096" s="53"/>
    </row>
    <row r="1097" spans="14:14" x14ac:dyDescent="0.25">
      <c r="N1097" s="53"/>
    </row>
    <row r="1098" spans="14:14" x14ac:dyDescent="0.25">
      <c r="N1098" s="53"/>
    </row>
    <row r="1099" spans="14:14" x14ac:dyDescent="0.25">
      <c r="N1099" s="53"/>
    </row>
    <row r="1100" spans="14:14" x14ac:dyDescent="0.25">
      <c r="N1100" s="53"/>
    </row>
    <row r="1101" spans="14:14" x14ac:dyDescent="0.25">
      <c r="N1101" s="53"/>
    </row>
    <row r="1102" spans="14:14" x14ac:dyDescent="0.25">
      <c r="N1102" s="53"/>
    </row>
    <row r="1103" spans="14:14" x14ac:dyDescent="0.25">
      <c r="N1103" s="53"/>
    </row>
    <row r="1104" spans="14:14" x14ac:dyDescent="0.25">
      <c r="N1104" s="53"/>
    </row>
    <row r="1105" spans="14:14" x14ac:dyDescent="0.25">
      <c r="N1105" s="53"/>
    </row>
    <row r="1106" spans="14:14" x14ac:dyDescent="0.25">
      <c r="N1106" s="53"/>
    </row>
    <row r="1107" spans="14:14" x14ac:dyDescent="0.25">
      <c r="N1107" s="53"/>
    </row>
    <row r="1108" spans="14:14" x14ac:dyDescent="0.25">
      <c r="N1108" s="53"/>
    </row>
    <row r="1109" spans="14:14" x14ac:dyDescent="0.25">
      <c r="N1109" s="53"/>
    </row>
    <row r="1110" spans="14:14" x14ac:dyDescent="0.25">
      <c r="N1110" s="53"/>
    </row>
    <row r="1111" spans="14:14" x14ac:dyDescent="0.25">
      <c r="N1111" s="53"/>
    </row>
    <row r="1112" spans="14:14" x14ac:dyDescent="0.25">
      <c r="N1112" s="53"/>
    </row>
    <row r="1113" spans="14:14" x14ac:dyDescent="0.25">
      <c r="N1113" s="53"/>
    </row>
    <row r="1114" spans="14:14" x14ac:dyDescent="0.25">
      <c r="N1114" s="53"/>
    </row>
    <row r="1115" spans="14:14" x14ac:dyDescent="0.25">
      <c r="N1115" s="53"/>
    </row>
    <row r="1116" spans="14:14" x14ac:dyDescent="0.25">
      <c r="N1116" s="53"/>
    </row>
    <row r="1117" spans="14:14" x14ac:dyDescent="0.25">
      <c r="N1117" s="53"/>
    </row>
    <row r="1118" spans="14:14" x14ac:dyDescent="0.25">
      <c r="N1118" s="53"/>
    </row>
    <row r="1119" spans="14:14" x14ac:dyDescent="0.25">
      <c r="N1119" s="53"/>
    </row>
    <row r="1120" spans="14:14" x14ac:dyDescent="0.25">
      <c r="N1120" s="53"/>
    </row>
    <row r="1121" spans="14:14" x14ac:dyDescent="0.25">
      <c r="N1121" s="53"/>
    </row>
    <row r="1122" spans="14:14" x14ac:dyDescent="0.25">
      <c r="N1122" s="53"/>
    </row>
    <row r="1123" spans="14:14" x14ac:dyDescent="0.25">
      <c r="N1123" s="53"/>
    </row>
    <row r="1124" spans="14:14" x14ac:dyDescent="0.25">
      <c r="N1124" s="53"/>
    </row>
    <row r="1125" spans="14:14" x14ac:dyDescent="0.25">
      <c r="N1125" s="53"/>
    </row>
    <row r="1126" spans="14:14" x14ac:dyDescent="0.25">
      <c r="N1126" s="53"/>
    </row>
    <row r="1127" spans="14:14" x14ac:dyDescent="0.25">
      <c r="N1127" s="53"/>
    </row>
    <row r="1128" spans="14:14" x14ac:dyDescent="0.25">
      <c r="N1128" s="53"/>
    </row>
    <row r="1129" spans="14:14" x14ac:dyDescent="0.25">
      <c r="N1129" s="53"/>
    </row>
    <row r="1130" spans="14:14" x14ac:dyDescent="0.25">
      <c r="N1130" s="53"/>
    </row>
    <row r="1131" spans="14:14" x14ac:dyDescent="0.25">
      <c r="N1131" s="53"/>
    </row>
    <row r="1132" spans="14:14" x14ac:dyDescent="0.25">
      <c r="N1132" s="53"/>
    </row>
    <row r="1133" spans="14:14" x14ac:dyDescent="0.25">
      <c r="N1133" s="53"/>
    </row>
    <row r="1134" spans="14:14" x14ac:dyDescent="0.25">
      <c r="N1134" s="53"/>
    </row>
    <row r="1135" spans="14:14" x14ac:dyDescent="0.25">
      <c r="N1135" s="53"/>
    </row>
    <row r="1136" spans="14:14" x14ac:dyDescent="0.25">
      <c r="N1136" s="53"/>
    </row>
    <row r="1137" spans="14:14" x14ac:dyDescent="0.25">
      <c r="N1137" s="53"/>
    </row>
    <row r="1138" spans="14:14" x14ac:dyDescent="0.25">
      <c r="N1138" s="53"/>
    </row>
    <row r="1139" spans="14:14" x14ac:dyDescent="0.25">
      <c r="N1139" s="53"/>
    </row>
    <row r="1140" spans="14:14" x14ac:dyDescent="0.25">
      <c r="N1140" s="53"/>
    </row>
    <row r="1141" spans="14:14" x14ac:dyDescent="0.25">
      <c r="N1141" s="53"/>
    </row>
    <row r="1142" spans="14:14" x14ac:dyDescent="0.25">
      <c r="N1142" s="53"/>
    </row>
    <row r="1143" spans="14:14" x14ac:dyDescent="0.25">
      <c r="N1143" s="53"/>
    </row>
    <row r="1144" spans="14:14" x14ac:dyDescent="0.25">
      <c r="N1144" s="53"/>
    </row>
    <row r="1145" spans="14:14" x14ac:dyDescent="0.25">
      <c r="N1145" s="53"/>
    </row>
    <row r="1146" spans="14:14" x14ac:dyDescent="0.25">
      <c r="N1146" s="53"/>
    </row>
    <row r="1147" spans="14:14" x14ac:dyDescent="0.25">
      <c r="N1147" s="53"/>
    </row>
    <row r="1148" spans="14:14" x14ac:dyDescent="0.25">
      <c r="N1148" s="53"/>
    </row>
    <row r="1149" spans="14:14" x14ac:dyDescent="0.25">
      <c r="N1149" s="53"/>
    </row>
    <row r="1150" spans="14:14" x14ac:dyDescent="0.25">
      <c r="N1150" s="53"/>
    </row>
    <row r="1151" spans="14:14" x14ac:dyDescent="0.25">
      <c r="N1151" s="53"/>
    </row>
    <row r="1152" spans="14:14" x14ac:dyDescent="0.25">
      <c r="N1152" s="53"/>
    </row>
    <row r="1153" spans="14:14" x14ac:dyDescent="0.25">
      <c r="N1153" s="53"/>
    </row>
    <row r="1154" spans="14:14" x14ac:dyDescent="0.25">
      <c r="N1154" s="53"/>
    </row>
    <row r="1155" spans="14:14" x14ac:dyDescent="0.25">
      <c r="N1155" s="53"/>
    </row>
    <row r="1156" spans="14:14" x14ac:dyDescent="0.25">
      <c r="N1156" s="53"/>
    </row>
    <row r="1157" spans="14:14" x14ac:dyDescent="0.25">
      <c r="N1157" s="53"/>
    </row>
    <row r="1158" spans="14:14" x14ac:dyDescent="0.25">
      <c r="N1158" s="53"/>
    </row>
    <row r="1159" spans="14:14" x14ac:dyDescent="0.25">
      <c r="N1159" s="53"/>
    </row>
    <row r="1160" spans="14:14" x14ac:dyDescent="0.25">
      <c r="N1160" s="53"/>
    </row>
    <row r="1161" spans="14:14" x14ac:dyDescent="0.25">
      <c r="N1161" s="53"/>
    </row>
    <row r="1162" spans="14:14" x14ac:dyDescent="0.25">
      <c r="N1162" s="53"/>
    </row>
    <row r="1163" spans="14:14" x14ac:dyDescent="0.25">
      <c r="N1163" s="53"/>
    </row>
    <row r="1164" spans="14:14" x14ac:dyDescent="0.25">
      <c r="N1164" s="53"/>
    </row>
    <row r="1165" spans="14:14" x14ac:dyDescent="0.25">
      <c r="N1165" s="53"/>
    </row>
    <row r="1166" spans="14:14" x14ac:dyDescent="0.25">
      <c r="N1166" s="53"/>
    </row>
    <row r="1167" spans="14:14" x14ac:dyDescent="0.25">
      <c r="N1167" s="53"/>
    </row>
    <row r="1168" spans="14:14" x14ac:dyDescent="0.25">
      <c r="N1168" s="53"/>
    </row>
    <row r="1169" spans="14:14" x14ac:dyDescent="0.25">
      <c r="N1169" s="53"/>
    </row>
    <row r="1170" spans="14:14" x14ac:dyDescent="0.25">
      <c r="N1170" s="53"/>
    </row>
    <row r="1171" spans="14:14" x14ac:dyDescent="0.25">
      <c r="N1171" s="53"/>
    </row>
    <row r="1172" spans="14:14" x14ac:dyDescent="0.25">
      <c r="N1172" s="53"/>
    </row>
    <row r="1173" spans="14:14" x14ac:dyDescent="0.25">
      <c r="N1173" s="53"/>
    </row>
    <row r="1174" spans="14:14" x14ac:dyDescent="0.25">
      <c r="N1174" s="53"/>
    </row>
    <row r="1175" spans="14:14" x14ac:dyDescent="0.25">
      <c r="N1175" s="53"/>
    </row>
    <row r="1176" spans="14:14" x14ac:dyDescent="0.25">
      <c r="N1176" s="53"/>
    </row>
    <row r="1177" spans="14:14" x14ac:dyDescent="0.25">
      <c r="N1177" s="53"/>
    </row>
    <row r="1178" spans="14:14" x14ac:dyDescent="0.25">
      <c r="N1178" s="53"/>
    </row>
    <row r="1179" spans="14:14" x14ac:dyDescent="0.25">
      <c r="N1179" s="53"/>
    </row>
    <row r="1180" spans="14:14" x14ac:dyDescent="0.25">
      <c r="N1180" s="53"/>
    </row>
    <row r="1181" spans="14:14" x14ac:dyDescent="0.25">
      <c r="N1181" s="53"/>
    </row>
    <row r="1182" spans="14:14" x14ac:dyDescent="0.25">
      <c r="N1182" s="53"/>
    </row>
    <row r="1183" spans="14:14" x14ac:dyDescent="0.25">
      <c r="N1183" s="53"/>
    </row>
    <row r="1184" spans="14:14" x14ac:dyDescent="0.25">
      <c r="N1184" s="53"/>
    </row>
    <row r="1185" spans="14:14" x14ac:dyDescent="0.25">
      <c r="N1185" s="53"/>
    </row>
    <row r="1186" spans="14:14" x14ac:dyDescent="0.25">
      <c r="N1186" s="53"/>
    </row>
    <row r="1187" spans="14:14" x14ac:dyDescent="0.25">
      <c r="N1187" s="53"/>
    </row>
    <row r="1188" spans="14:14" x14ac:dyDescent="0.25">
      <c r="N1188" s="53"/>
    </row>
    <row r="1189" spans="14:14" x14ac:dyDescent="0.25">
      <c r="N1189" s="53"/>
    </row>
    <row r="1190" spans="14:14" x14ac:dyDescent="0.25">
      <c r="N1190" s="53"/>
    </row>
    <row r="1191" spans="14:14" x14ac:dyDescent="0.25">
      <c r="N1191" s="53"/>
    </row>
    <row r="1192" spans="14:14" x14ac:dyDescent="0.25">
      <c r="N1192" s="53"/>
    </row>
    <row r="1193" spans="14:14" x14ac:dyDescent="0.25">
      <c r="N1193" s="53"/>
    </row>
    <row r="1194" spans="14:14" x14ac:dyDescent="0.25">
      <c r="N1194" s="53"/>
    </row>
    <row r="1195" spans="14:14" x14ac:dyDescent="0.25">
      <c r="N1195" s="53"/>
    </row>
    <row r="1196" spans="14:14" x14ac:dyDescent="0.25">
      <c r="N1196" s="53"/>
    </row>
    <row r="1197" spans="14:14" x14ac:dyDescent="0.25">
      <c r="N1197" s="53"/>
    </row>
    <row r="1198" spans="14:14" x14ac:dyDescent="0.25">
      <c r="N1198" s="53"/>
    </row>
    <row r="1199" spans="14:14" x14ac:dyDescent="0.25">
      <c r="N1199" s="53"/>
    </row>
    <row r="1200" spans="14:14" x14ac:dyDescent="0.25">
      <c r="N1200" s="53"/>
    </row>
    <row r="1201" spans="14:14" x14ac:dyDescent="0.25">
      <c r="N1201" s="53"/>
    </row>
    <row r="1202" spans="14:14" x14ac:dyDescent="0.25">
      <c r="N1202" s="53"/>
    </row>
    <row r="1203" spans="14:14" x14ac:dyDescent="0.25">
      <c r="N1203" s="53"/>
    </row>
    <row r="1204" spans="14:14" x14ac:dyDescent="0.25">
      <c r="N1204" s="53"/>
    </row>
    <row r="1205" spans="14:14" x14ac:dyDescent="0.25">
      <c r="N1205" s="53"/>
    </row>
    <row r="1206" spans="14:14" x14ac:dyDescent="0.25">
      <c r="N1206" s="53"/>
    </row>
    <row r="1207" spans="14:14" x14ac:dyDescent="0.25">
      <c r="N1207" s="53"/>
    </row>
    <row r="1208" spans="14:14" x14ac:dyDescent="0.25">
      <c r="N1208" s="53"/>
    </row>
    <row r="1209" spans="14:14" x14ac:dyDescent="0.25">
      <c r="N1209" s="53"/>
    </row>
    <row r="1210" spans="14:14" x14ac:dyDescent="0.25">
      <c r="N1210" s="53"/>
    </row>
    <row r="1211" spans="14:14" x14ac:dyDescent="0.25">
      <c r="N1211" s="53"/>
    </row>
    <row r="1212" spans="14:14" x14ac:dyDescent="0.25">
      <c r="N1212" s="53"/>
    </row>
    <row r="1213" spans="14:14" x14ac:dyDescent="0.25">
      <c r="N1213" s="53"/>
    </row>
    <row r="1214" spans="14:14" x14ac:dyDescent="0.25">
      <c r="N1214" s="53"/>
    </row>
    <row r="1215" spans="14:14" x14ac:dyDescent="0.25">
      <c r="N1215" s="53"/>
    </row>
    <row r="1216" spans="14:14" x14ac:dyDescent="0.25">
      <c r="N1216" s="53"/>
    </row>
    <row r="1217" spans="14:14" x14ac:dyDescent="0.25">
      <c r="N1217" s="53"/>
    </row>
    <row r="1218" spans="14:14" x14ac:dyDescent="0.25">
      <c r="N1218" s="53"/>
    </row>
    <row r="1219" spans="14:14" x14ac:dyDescent="0.25">
      <c r="N1219" s="53"/>
    </row>
    <row r="1220" spans="14:14" x14ac:dyDescent="0.25">
      <c r="N1220" s="53"/>
    </row>
    <row r="1221" spans="14:14" x14ac:dyDescent="0.25">
      <c r="N1221" s="53"/>
    </row>
    <row r="1222" spans="14:14" x14ac:dyDescent="0.25">
      <c r="N1222" s="53"/>
    </row>
    <row r="1223" spans="14:14" x14ac:dyDescent="0.25">
      <c r="N1223" s="53"/>
    </row>
    <row r="1224" spans="14:14" x14ac:dyDescent="0.25">
      <c r="N1224" s="53"/>
    </row>
    <row r="1225" spans="14:14" x14ac:dyDescent="0.25">
      <c r="N1225" s="53"/>
    </row>
    <row r="1226" spans="14:14" x14ac:dyDescent="0.25">
      <c r="N1226" s="53"/>
    </row>
    <row r="1227" spans="14:14" x14ac:dyDescent="0.25">
      <c r="N1227" s="53"/>
    </row>
    <row r="1228" spans="14:14" x14ac:dyDescent="0.25">
      <c r="N1228" s="53"/>
    </row>
    <row r="1229" spans="14:14" x14ac:dyDescent="0.25">
      <c r="N1229" s="53"/>
    </row>
    <row r="1230" spans="14:14" x14ac:dyDescent="0.25">
      <c r="N1230" s="53"/>
    </row>
    <row r="1231" spans="14:14" x14ac:dyDescent="0.25">
      <c r="N1231" s="53"/>
    </row>
    <row r="1232" spans="14:14" x14ac:dyDescent="0.25">
      <c r="N1232" s="53"/>
    </row>
    <row r="1233" spans="14:14" x14ac:dyDescent="0.25">
      <c r="N1233" s="53"/>
    </row>
    <row r="1234" spans="14:14" x14ac:dyDescent="0.25">
      <c r="N1234" s="53"/>
    </row>
    <row r="1235" spans="14:14" x14ac:dyDescent="0.25">
      <c r="N1235" s="53"/>
    </row>
    <row r="1236" spans="14:14" x14ac:dyDescent="0.25">
      <c r="N1236" s="53"/>
    </row>
    <row r="1237" spans="14:14" x14ac:dyDescent="0.25">
      <c r="N1237" s="53"/>
    </row>
    <row r="1238" spans="14:14" x14ac:dyDescent="0.25">
      <c r="N1238" s="53"/>
    </row>
    <row r="1239" spans="14:14" x14ac:dyDescent="0.25">
      <c r="N1239" s="53"/>
    </row>
    <row r="1240" spans="14:14" x14ac:dyDescent="0.25">
      <c r="N1240" s="53"/>
    </row>
    <row r="1241" spans="14:14" x14ac:dyDescent="0.25">
      <c r="N1241" s="53"/>
    </row>
    <row r="1242" spans="14:14" x14ac:dyDescent="0.25">
      <c r="N1242" s="53"/>
    </row>
    <row r="1243" spans="14:14" x14ac:dyDescent="0.25">
      <c r="N1243" s="53"/>
    </row>
    <row r="1244" spans="14:14" x14ac:dyDescent="0.25">
      <c r="N1244" s="53"/>
    </row>
    <row r="1245" spans="14:14" x14ac:dyDescent="0.25">
      <c r="N1245" s="53"/>
    </row>
    <row r="1246" spans="14:14" x14ac:dyDescent="0.25">
      <c r="N1246" s="53"/>
    </row>
    <row r="1247" spans="14:14" x14ac:dyDescent="0.25">
      <c r="N1247" s="53"/>
    </row>
    <row r="1248" spans="14:14" x14ac:dyDescent="0.25">
      <c r="N1248" s="53"/>
    </row>
    <row r="1249" spans="14:14" x14ac:dyDescent="0.25">
      <c r="N1249" s="53"/>
    </row>
    <row r="1250" spans="14:14" x14ac:dyDescent="0.25">
      <c r="N1250" s="53"/>
    </row>
    <row r="1251" spans="14:14" x14ac:dyDescent="0.25">
      <c r="N1251" s="53"/>
    </row>
    <row r="1252" spans="14:14" x14ac:dyDescent="0.25">
      <c r="N1252" s="53"/>
    </row>
    <row r="1253" spans="14:14" x14ac:dyDescent="0.25">
      <c r="N1253" s="53"/>
    </row>
    <row r="1254" spans="14:14" x14ac:dyDescent="0.25">
      <c r="N1254" s="53"/>
    </row>
    <row r="1255" spans="14:14" x14ac:dyDescent="0.25">
      <c r="N1255" s="53"/>
    </row>
    <row r="1256" spans="14:14" x14ac:dyDescent="0.25">
      <c r="N1256" s="53"/>
    </row>
    <row r="1257" spans="14:14" x14ac:dyDescent="0.25">
      <c r="N1257" s="53"/>
    </row>
    <row r="1258" spans="14:14" x14ac:dyDescent="0.25">
      <c r="N1258" s="53"/>
    </row>
    <row r="1259" spans="14:14" x14ac:dyDescent="0.25">
      <c r="N1259" s="53"/>
    </row>
    <row r="1260" spans="14:14" x14ac:dyDescent="0.25">
      <c r="N1260" s="53"/>
    </row>
    <row r="1261" spans="14:14" x14ac:dyDescent="0.25">
      <c r="N1261" s="53"/>
    </row>
    <row r="1262" spans="14:14" x14ac:dyDescent="0.25">
      <c r="N1262" s="53"/>
    </row>
    <row r="1263" spans="14:14" x14ac:dyDescent="0.25">
      <c r="N1263" s="53"/>
    </row>
    <row r="1264" spans="14:14" x14ac:dyDescent="0.25">
      <c r="N1264" s="53"/>
    </row>
    <row r="1265" spans="14:14" x14ac:dyDescent="0.25">
      <c r="N1265" s="53"/>
    </row>
    <row r="1266" spans="14:14" x14ac:dyDescent="0.25">
      <c r="N1266" s="53"/>
    </row>
    <row r="1267" spans="14:14" x14ac:dyDescent="0.25">
      <c r="N1267" s="53"/>
    </row>
    <row r="1268" spans="14:14" x14ac:dyDescent="0.25">
      <c r="N1268" s="53"/>
    </row>
    <row r="1269" spans="14:14" x14ac:dyDescent="0.25">
      <c r="N1269" s="53"/>
    </row>
    <row r="1270" spans="14:14" x14ac:dyDescent="0.25">
      <c r="N1270" s="53"/>
    </row>
    <row r="1271" spans="14:14" x14ac:dyDescent="0.25">
      <c r="N1271" s="53"/>
    </row>
    <row r="1272" spans="14:14" x14ac:dyDescent="0.25">
      <c r="N1272" s="53"/>
    </row>
    <row r="1273" spans="14:14" x14ac:dyDescent="0.25">
      <c r="N1273" s="53"/>
    </row>
    <row r="1274" spans="14:14" x14ac:dyDescent="0.25">
      <c r="N1274" s="53"/>
    </row>
    <row r="1275" spans="14:14" x14ac:dyDescent="0.25">
      <c r="N1275" s="53"/>
    </row>
    <row r="1276" spans="14:14" x14ac:dyDescent="0.25">
      <c r="N1276" s="53"/>
    </row>
    <row r="1277" spans="14:14" x14ac:dyDescent="0.25">
      <c r="N1277" s="53"/>
    </row>
    <row r="1278" spans="14:14" x14ac:dyDescent="0.25">
      <c r="N1278" s="53"/>
    </row>
    <row r="1279" spans="14:14" x14ac:dyDescent="0.25">
      <c r="N1279" s="53"/>
    </row>
    <row r="1280" spans="14:14" x14ac:dyDescent="0.25">
      <c r="N1280" s="53"/>
    </row>
    <row r="1281" spans="14:14" x14ac:dyDescent="0.25">
      <c r="N1281" s="53"/>
    </row>
    <row r="1282" spans="14:14" x14ac:dyDescent="0.25">
      <c r="N1282" s="53"/>
    </row>
    <row r="1283" spans="14:14" x14ac:dyDescent="0.25">
      <c r="N1283" s="53"/>
    </row>
    <row r="1284" spans="14:14" x14ac:dyDescent="0.25">
      <c r="N1284" s="53"/>
    </row>
    <row r="1285" spans="14:14" x14ac:dyDescent="0.25">
      <c r="N1285" s="53"/>
    </row>
    <row r="1286" spans="14:14" x14ac:dyDescent="0.25">
      <c r="N1286" s="53"/>
    </row>
    <row r="1287" spans="14:14" x14ac:dyDescent="0.25">
      <c r="N1287" s="53"/>
    </row>
    <row r="1288" spans="14:14" x14ac:dyDescent="0.25">
      <c r="N1288" s="53"/>
    </row>
    <row r="1289" spans="14:14" x14ac:dyDescent="0.25">
      <c r="N1289" s="53"/>
    </row>
    <row r="1290" spans="14:14" x14ac:dyDescent="0.25">
      <c r="N1290" s="53"/>
    </row>
    <row r="1291" spans="14:14" x14ac:dyDescent="0.25">
      <c r="N1291" s="53"/>
    </row>
    <row r="1292" spans="14:14" x14ac:dyDescent="0.25">
      <c r="N1292" s="53"/>
    </row>
    <row r="1293" spans="14:14" x14ac:dyDescent="0.25">
      <c r="N1293" s="53"/>
    </row>
    <row r="1294" spans="14:14" x14ac:dyDescent="0.25">
      <c r="N1294" s="53"/>
    </row>
    <row r="1295" spans="14:14" x14ac:dyDescent="0.25">
      <c r="N1295" s="53"/>
    </row>
    <row r="1296" spans="14:14" x14ac:dyDescent="0.25">
      <c r="N1296" s="53"/>
    </row>
    <row r="1297" spans="14:14" x14ac:dyDescent="0.25">
      <c r="N1297" s="53"/>
    </row>
    <row r="1298" spans="14:14" x14ac:dyDescent="0.25">
      <c r="N1298" s="53"/>
    </row>
    <row r="1299" spans="14:14" x14ac:dyDescent="0.25">
      <c r="N1299" s="53"/>
    </row>
    <row r="1300" spans="14:14" x14ac:dyDescent="0.25">
      <c r="N1300" s="53"/>
    </row>
    <row r="1301" spans="14:14" x14ac:dyDescent="0.25">
      <c r="N1301" s="53"/>
    </row>
    <row r="1302" spans="14:14" x14ac:dyDescent="0.25">
      <c r="N1302" s="53"/>
    </row>
    <row r="1303" spans="14:14" x14ac:dyDescent="0.25">
      <c r="N1303" s="53"/>
    </row>
    <row r="1304" spans="14:14" x14ac:dyDescent="0.25">
      <c r="N1304" s="53"/>
    </row>
    <row r="1305" spans="14:14" x14ac:dyDescent="0.25">
      <c r="N1305" s="53"/>
    </row>
    <row r="1306" spans="14:14" x14ac:dyDescent="0.25">
      <c r="N1306" s="53"/>
    </row>
    <row r="1307" spans="14:14" x14ac:dyDescent="0.25">
      <c r="N1307" s="53"/>
    </row>
    <row r="1308" spans="14:14" x14ac:dyDescent="0.25">
      <c r="N1308" s="53"/>
    </row>
    <row r="1309" spans="14:14" x14ac:dyDescent="0.25">
      <c r="N1309" s="53"/>
    </row>
    <row r="1310" spans="14:14" x14ac:dyDescent="0.25">
      <c r="N1310" s="53"/>
    </row>
    <row r="1311" spans="14:14" x14ac:dyDescent="0.25">
      <c r="N1311" s="53"/>
    </row>
    <row r="1312" spans="14:14" x14ac:dyDescent="0.25">
      <c r="N1312" s="53"/>
    </row>
    <row r="1313" spans="14:14" x14ac:dyDescent="0.25">
      <c r="N1313" s="53"/>
    </row>
    <row r="1314" spans="14:14" x14ac:dyDescent="0.25">
      <c r="N1314" s="53"/>
    </row>
    <row r="1315" spans="14:14" x14ac:dyDescent="0.25">
      <c r="N1315" s="53"/>
    </row>
    <row r="1316" spans="14:14" x14ac:dyDescent="0.25">
      <c r="N1316" s="53"/>
    </row>
    <row r="1317" spans="14:14" x14ac:dyDescent="0.25">
      <c r="N1317" s="53"/>
    </row>
    <row r="1318" spans="14:14" x14ac:dyDescent="0.25">
      <c r="N1318" s="53"/>
    </row>
    <row r="1319" spans="14:14" x14ac:dyDescent="0.25">
      <c r="N1319" s="53"/>
    </row>
    <row r="1320" spans="14:14" x14ac:dyDescent="0.25">
      <c r="N1320" s="53"/>
    </row>
    <row r="1321" spans="14:14" x14ac:dyDescent="0.25">
      <c r="N1321" s="53"/>
    </row>
    <row r="1322" spans="14:14" x14ac:dyDescent="0.25">
      <c r="N1322" s="53"/>
    </row>
    <row r="1323" spans="14:14" x14ac:dyDescent="0.25">
      <c r="N1323" s="53"/>
    </row>
    <row r="1324" spans="14:14" x14ac:dyDescent="0.25">
      <c r="N1324" s="53"/>
    </row>
    <row r="1325" spans="14:14" x14ac:dyDescent="0.25">
      <c r="N1325" s="53"/>
    </row>
    <row r="1326" spans="14:14" x14ac:dyDescent="0.25">
      <c r="N1326" s="53"/>
    </row>
    <row r="1327" spans="14:14" x14ac:dyDescent="0.25">
      <c r="N1327" s="53"/>
    </row>
    <row r="1328" spans="14:14" x14ac:dyDescent="0.25">
      <c r="N1328" s="53"/>
    </row>
    <row r="1329" spans="14:14" x14ac:dyDescent="0.25">
      <c r="N1329" s="53"/>
    </row>
    <row r="1330" spans="14:14" x14ac:dyDescent="0.25">
      <c r="N1330" s="53"/>
    </row>
    <row r="1331" spans="14:14" x14ac:dyDescent="0.25">
      <c r="N1331" s="53"/>
    </row>
    <row r="1332" spans="14:14" x14ac:dyDescent="0.25">
      <c r="N1332" s="53"/>
    </row>
    <row r="1333" spans="14:14" x14ac:dyDescent="0.25">
      <c r="N1333" s="53"/>
    </row>
    <row r="1334" spans="14:14" x14ac:dyDescent="0.25">
      <c r="N1334" s="53"/>
    </row>
    <row r="1335" spans="14:14" x14ac:dyDescent="0.25">
      <c r="N1335" s="53"/>
    </row>
    <row r="1336" spans="14:14" x14ac:dyDescent="0.25">
      <c r="N1336" s="53"/>
    </row>
    <row r="1337" spans="14:14" x14ac:dyDescent="0.25">
      <c r="N1337" s="53"/>
    </row>
    <row r="1338" spans="14:14" x14ac:dyDescent="0.25">
      <c r="N1338" s="53"/>
    </row>
    <row r="1339" spans="14:14" x14ac:dyDescent="0.25">
      <c r="N1339" s="53"/>
    </row>
    <row r="1340" spans="14:14" x14ac:dyDescent="0.25">
      <c r="N1340" s="53"/>
    </row>
    <row r="1341" spans="14:14" x14ac:dyDescent="0.25">
      <c r="N1341" s="53"/>
    </row>
    <row r="1342" spans="14:14" x14ac:dyDescent="0.25">
      <c r="N1342" s="53"/>
    </row>
    <row r="1343" spans="14:14" x14ac:dyDescent="0.25">
      <c r="N1343" s="53"/>
    </row>
    <row r="1344" spans="14:14" x14ac:dyDescent="0.25">
      <c r="N1344" s="53"/>
    </row>
    <row r="1345" spans="14:14" x14ac:dyDescent="0.25">
      <c r="N1345" s="53"/>
    </row>
    <row r="1346" spans="14:14" x14ac:dyDescent="0.25">
      <c r="N1346" s="53"/>
    </row>
    <row r="1347" spans="14:14" x14ac:dyDescent="0.25">
      <c r="N1347" s="53"/>
    </row>
    <row r="1348" spans="14:14" x14ac:dyDescent="0.25">
      <c r="N1348" s="53"/>
    </row>
    <row r="1349" spans="14:14" x14ac:dyDescent="0.25">
      <c r="N1349" s="53"/>
    </row>
    <row r="1350" spans="14:14" x14ac:dyDescent="0.25">
      <c r="N1350" s="53"/>
    </row>
    <row r="1351" spans="14:14" x14ac:dyDescent="0.25">
      <c r="N1351" s="53"/>
    </row>
    <row r="1352" spans="14:14" x14ac:dyDescent="0.25">
      <c r="N1352" s="53"/>
    </row>
    <row r="1353" spans="14:14" x14ac:dyDescent="0.25">
      <c r="N1353" s="53"/>
    </row>
    <row r="1354" spans="14:14" x14ac:dyDescent="0.25">
      <c r="N1354" s="53"/>
    </row>
    <row r="1355" spans="14:14" x14ac:dyDescent="0.25">
      <c r="N1355" s="53"/>
    </row>
    <row r="1356" spans="14:14" x14ac:dyDescent="0.25">
      <c r="N1356" s="53"/>
    </row>
    <row r="1357" spans="14:14" x14ac:dyDescent="0.25">
      <c r="N1357" s="53"/>
    </row>
    <row r="1358" spans="14:14" x14ac:dyDescent="0.25">
      <c r="N1358" s="53"/>
    </row>
    <row r="1359" spans="14:14" x14ac:dyDescent="0.25">
      <c r="N1359" s="53"/>
    </row>
    <row r="1360" spans="14:14" x14ac:dyDescent="0.25">
      <c r="N1360" s="53"/>
    </row>
    <row r="1361" spans="14:14" x14ac:dyDescent="0.25">
      <c r="N1361" s="53"/>
    </row>
    <row r="1362" spans="14:14" x14ac:dyDescent="0.25">
      <c r="N1362" s="53"/>
    </row>
    <row r="1363" spans="14:14" x14ac:dyDescent="0.25">
      <c r="N1363" s="53"/>
    </row>
    <row r="1364" spans="14:14" x14ac:dyDescent="0.25">
      <c r="N1364" s="53"/>
    </row>
    <row r="1365" spans="14:14" x14ac:dyDescent="0.25">
      <c r="N1365" s="53"/>
    </row>
    <row r="1366" spans="14:14" x14ac:dyDescent="0.25">
      <c r="N1366" s="53"/>
    </row>
    <row r="1367" spans="14:14" x14ac:dyDescent="0.25">
      <c r="N1367" s="53"/>
    </row>
    <row r="1368" spans="14:14" x14ac:dyDescent="0.25">
      <c r="N1368" s="53"/>
    </row>
    <row r="1369" spans="14:14" x14ac:dyDescent="0.25">
      <c r="N1369" s="53"/>
    </row>
    <row r="1370" spans="14:14" x14ac:dyDescent="0.25">
      <c r="N1370" s="53"/>
    </row>
    <row r="1371" spans="14:14" x14ac:dyDescent="0.25">
      <c r="N1371" s="53"/>
    </row>
    <row r="1372" spans="14:14" x14ac:dyDescent="0.25">
      <c r="N1372" s="53"/>
    </row>
    <row r="1373" spans="14:14" x14ac:dyDescent="0.25">
      <c r="N1373" s="53"/>
    </row>
    <row r="1374" spans="14:14" x14ac:dyDescent="0.25">
      <c r="N1374" s="53"/>
    </row>
    <row r="1375" spans="14:14" x14ac:dyDescent="0.25">
      <c r="N1375" s="53"/>
    </row>
    <row r="1376" spans="14:14" x14ac:dyDescent="0.25">
      <c r="N1376" s="53"/>
    </row>
    <row r="1377" spans="14:14" x14ac:dyDescent="0.25">
      <c r="N1377" s="53"/>
    </row>
    <row r="1378" spans="14:14" x14ac:dyDescent="0.25">
      <c r="N1378" s="53"/>
    </row>
    <row r="1379" spans="14:14" x14ac:dyDescent="0.25">
      <c r="N1379" s="53"/>
    </row>
    <row r="1380" spans="14:14" x14ac:dyDescent="0.25">
      <c r="N1380" s="53"/>
    </row>
    <row r="1381" spans="14:14" x14ac:dyDescent="0.25">
      <c r="N1381" s="53"/>
    </row>
    <row r="1382" spans="14:14" x14ac:dyDescent="0.25">
      <c r="N1382" s="53"/>
    </row>
    <row r="1383" spans="14:14" x14ac:dyDescent="0.25">
      <c r="N1383" s="53"/>
    </row>
    <row r="1384" spans="14:14" x14ac:dyDescent="0.25">
      <c r="N1384" s="53"/>
    </row>
    <row r="1385" spans="14:14" x14ac:dyDescent="0.25">
      <c r="N1385" s="53"/>
    </row>
    <row r="1386" spans="14:14" x14ac:dyDescent="0.25">
      <c r="N1386" s="53"/>
    </row>
    <row r="1387" spans="14:14" x14ac:dyDescent="0.25">
      <c r="N1387" s="53"/>
    </row>
    <row r="1388" spans="14:14" x14ac:dyDescent="0.25">
      <c r="N1388" s="53"/>
    </row>
    <row r="1389" spans="14:14" x14ac:dyDescent="0.25">
      <c r="N1389" s="53"/>
    </row>
    <row r="1390" spans="14:14" x14ac:dyDescent="0.25">
      <c r="N1390" s="53"/>
    </row>
    <row r="1391" spans="14:14" x14ac:dyDescent="0.25">
      <c r="N1391" s="53"/>
    </row>
    <row r="1392" spans="14:14" x14ac:dyDescent="0.25">
      <c r="N1392" s="53"/>
    </row>
    <row r="1393" spans="14:14" x14ac:dyDescent="0.25">
      <c r="N1393" s="53"/>
    </row>
    <row r="1394" spans="14:14" x14ac:dyDescent="0.25">
      <c r="N1394" s="53"/>
    </row>
    <row r="1395" spans="14:14" x14ac:dyDescent="0.25">
      <c r="N1395" s="53"/>
    </row>
    <row r="1396" spans="14:14" x14ac:dyDescent="0.25">
      <c r="N1396" s="53"/>
    </row>
    <row r="1397" spans="14:14" x14ac:dyDescent="0.25">
      <c r="N1397" s="53"/>
    </row>
    <row r="1398" spans="14:14" x14ac:dyDescent="0.25">
      <c r="N1398" s="53"/>
    </row>
    <row r="1399" spans="14:14" x14ac:dyDescent="0.25">
      <c r="N1399" s="53"/>
    </row>
    <row r="1400" spans="14:14" x14ac:dyDescent="0.25">
      <c r="N1400" s="53"/>
    </row>
    <row r="1401" spans="14:14" x14ac:dyDescent="0.25">
      <c r="N1401" s="53"/>
    </row>
    <row r="1402" spans="14:14" x14ac:dyDescent="0.25">
      <c r="N1402" s="53"/>
    </row>
    <row r="1403" spans="14:14" x14ac:dyDescent="0.25">
      <c r="N1403" s="53"/>
    </row>
    <row r="1404" spans="14:14" x14ac:dyDescent="0.25">
      <c r="N1404" s="53"/>
    </row>
    <row r="1405" spans="14:14" x14ac:dyDescent="0.25">
      <c r="N1405" s="53"/>
    </row>
    <row r="1406" spans="14:14" x14ac:dyDescent="0.25">
      <c r="N1406" s="53"/>
    </row>
    <row r="1407" spans="14:14" x14ac:dyDescent="0.25">
      <c r="N1407" s="53"/>
    </row>
    <row r="1408" spans="14:14" x14ac:dyDescent="0.25">
      <c r="N1408" s="53"/>
    </row>
    <row r="1409" spans="14:14" x14ac:dyDescent="0.25">
      <c r="N1409" s="53"/>
    </row>
    <row r="1410" spans="14:14" x14ac:dyDescent="0.25">
      <c r="N1410" s="53"/>
    </row>
    <row r="1411" spans="14:14" x14ac:dyDescent="0.25">
      <c r="N1411" s="53"/>
    </row>
    <row r="1412" spans="14:14" x14ac:dyDescent="0.25">
      <c r="N1412" s="53"/>
    </row>
    <row r="1413" spans="14:14" x14ac:dyDescent="0.25">
      <c r="N1413" s="53"/>
    </row>
    <row r="1414" spans="14:14" x14ac:dyDescent="0.25">
      <c r="N1414" s="53"/>
    </row>
    <row r="1415" spans="14:14" x14ac:dyDescent="0.25">
      <c r="N1415" s="53"/>
    </row>
    <row r="1416" spans="14:14" x14ac:dyDescent="0.25">
      <c r="N1416" s="53"/>
    </row>
    <row r="1417" spans="14:14" x14ac:dyDescent="0.25">
      <c r="N1417" s="53"/>
    </row>
    <row r="1418" spans="14:14" x14ac:dyDescent="0.25">
      <c r="N1418" s="53"/>
    </row>
    <row r="1419" spans="14:14" x14ac:dyDescent="0.25">
      <c r="N1419" s="53"/>
    </row>
    <row r="1420" spans="14:14" x14ac:dyDescent="0.25">
      <c r="N1420" s="53"/>
    </row>
    <row r="1421" spans="14:14" x14ac:dyDescent="0.25">
      <c r="N1421" s="53"/>
    </row>
    <row r="1422" spans="14:14" x14ac:dyDescent="0.25">
      <c r="N1422" s="53"/>
    </row>
    <row r="1423" spans="14:14" x14ac:dyDescent="0.25">
      <c r="N1423" s="53"/>
    </row>
    <row r="1424" spans="14:14" x14ac:dyDescent="0.25">
      <c r="N1424" s="53"/>
    </row>
    <row r="1425" spans="14:14" x14ac:dyDescent="0.25">
      <c r="N1425" s="53"/>
    </row>
    <row r="1426" spans="14:14" x14ac:dyDescent="0.25">
      <c r="N1426" s="53"/>
    </row>
    <row r="1427" spans="14:14" x14ac:dyDescent="0.25">
      <c r="N1427" s="53"/>
    </row>
    <row r="1428" spans="14:14" x14ac:dyDescent="0.25">
      <c r="N1428" s="53"/>
    </row>
    <row r="1429" spans="14:14" x14ac:dyDescent="0.25">
      <c r="N1429" s="53"/>
    </row>
    <row r="1430" spans="14:14" x14ac:dyDescent="0.25">
      <c r="N1430" s="53"/>
    </row>
    <row r="1431" spans="14:14" x14ac:dyDescent="0.25">
      <c r="N1431" s="53"/>
    </row>
    <row r="1432" spans="14:14" x14ac:dyDescent="0.25">
      <c r="N1432" s="53"/>
    </row>
    <row r="1433" spans="14:14" x14ac:dyDescent="0.25">
      <c r="N1433" s="53"/>
    </row>
    <row r="1434" spans="14:14" x14ac:dyDescent="0.25">
      <c r="N1434" s="53"/>
    </row>
    <row r="1435" spans="14:14" x14ac:dyDescent="0.25">
      <c r="N1435" s="53"/>
    </row>
    <row r="1436" spans="14:14" x14ac:dyDescent="0.25">
      <c r="N1436" s="53"/>
    </row>
    <row r="1437" spans="14:14" x14ac:dyDescent="0.25">
      <c r="N1437" s="53"/>
    </row>
    <row r="1438" spans="14:14" x14ac:dyDescent="0.25">
      <c r="N1438" s="53"/>
    </row>
    <row r="1439" spans="14:14" x14ac:dyDescent="0.25">
      <c r="N1439" s="53"/>
    </row>
    <row r="1440" spans="14:14" x14ac:dyDescent="0.25">
      <c r="N1440" s="53"/>
    </row>
    <row r="1441" spans="14:14" x14ac:dyDescent="0.25">
      <c r="N1441" s="53"/>
    </row>
    <row r="1442" spans="14:14" x14ac:dyDescent="0.25">
      <c r="N1442" s="53"/>
    </row>
    <row r="1443" spans="14:14" x14ac:dyDescent="0.25">
      <c r="N1443" s="53"/>
    </row>
    <row r="1444" spans="14:14" x14ac:dyDescent="0.25">
      <c r="N1444" s="53"/>
    </row>
    <row r="1445" spans="14:14" x14ac:dyDescent="0.25">
      <c r="N1445" s="53"/>
    </row>
    <row r="1446" spans="14:14" x14ac:dyDescent="0.25">
      <c r="N1446" s="53"/>
    </row>
    <row r="1447" spans="14:14" x14ac:dyDescent="0.25">
      <c r="N1447" s="53"/>
    </row>
    <row r="1448" spans="14:14" x14ac:dyDescent="0.25">
      <c r="N1448" s="53"/>
    </row>
    <row r="1449" spans="14:14" x14ac:dyDescent="0.25">
      <c r="N1449" s="53"/>
    </row>
    <row r="1450" spans="14:14" x14ac:dyDescent="0.25">
      <c r="N1450" s="53"/>
    </row>
    <row r="1451" spans="14:14" x14ac:dyDescent="0.25">
      <c r="N1451" s="53"/>
    </row>
    <row r="1452" spans="14:14" x14ac:dyDescent="0.25">
      <c r="N1452" s="53"/>
    </row>
    <row r="1453" spans="14:14" x14ac:dyDescent="0.25">
      <c r="N1453" s="53"/>
    </row>
    <row r="1454" spans="14:14" x14ac:dyDescent="0.25">
      <c r="N1454" s="53"/>
    </row>
    <row r="1455" spans="14:14" x14ac:dyDescent="0.25">
      <c r="N1455" s="53"/>
    </row>
    <row r="1456" spans="14:14" x14ac:dyDescent="0.25">
      <c r="N1456" s="53"/>
    </row>
    <row r="1457" spans="14:14" x14ac:dyDescent="0.25">
      <c r="N1457" s="53"/>
    </row>
    <row r="1458" spans="14:14" x14ac:dyDescent="0.25">
      <c r="N1458" s="53"/>
    </row>
    <row r="1459" spans="14:14" x14ac:dyDescent="0.25">
      <c r="N1459" s="53"/>
    </row>
    <row r="1460" spans="14:14" x14ac:dyDescent="0.25">
      <c r="N1460" s="53"/>
    </row>
    <row r="1461" spans="14:14" x14ac:dyDescent="0.25">
      <c r="N1461" s="53"/>
    </row>
    <row r="1462" spans="14:14" x14ac:dyDescent="0.25">
      <c r="N1462" s="53"/>
    </row>
    <row r="1463" spans="14:14" x14ac:dyDescent="0.25">
      <c r="N1463" s="53"/>
    </row>
    <row r="1464" spans="14:14" x14ac:dyDescent="0.25">
      <c r="N1464" s="53"/>
    </row>
    <row r="1465" spans="14:14" x14ac:dyDescent="0.25">
      <c r="N1465" s="53"/>
    </row>
    <row r="1466" spans="14:14" x14ac:dyDescent="0.25">
      <c r="N1466" s="53"/>
    </row>
    <row r="1467" spans="14:14" x14ac:dyDescent="0.25">
      <c r="N1467" s="53"/>
    </row>
    <row r="1468" spans="14:14" x14ac:dyDescent="0.25">
      <c r="N1468" s="53"/>
    </row>
    <row r="1469" spans="14:14" x14ac:dyDescent="0.25">
      <c r="N1469" s="53"/>
    </row>
    <row r="1470" spans="14:14" x14ac:dyDescent="0.25">
      <c r="N1470" s="53"/>
    </row>
    <row r="1471" spans="14:14" x14ac:dyDescent="0.25">
      <c r="N1471" s="53"/>
    </row>
    <row r="1472" spans="14:14" x14ac:dyDescent="0.25">
      <c r="N1472" s="53"/>
    </row>
    <row r="1473" spans="14:14" x14ac:dyDescent="0.25">
      <c r="N1473" s="53"/>
    </row>
    <row r="1474" spans="14:14" x14ac:dyDescent="0.25">
      <c r="N1474" s="53"/>
    </row>
    <row r="1475" spans="14:14" x14ac:dyDescent="0.25">
      <c r="N1475" s="53"/>
    </row>
    <row r="1476" spans="14:14" x14ac:dyDescent="0.25">
      <c r="N1476" s="53"/>
    </row>
    <row r="1477" spans="14:14" x14ac:dyDescent="0.25">
      <c r="N1477" s="53"/>
    </row>
    <row r="1478" spans="14:14" x14ac:dyDescent="0.25">
      <c r="N1478" s="53"/>
    </row>
    <row r="1479" spans="14:14" x14ac:dyDescent="0.25">
      <c r="N1479" s="53"/>
    </row>
    <row r="1480" spans="14:14" x14ac:dyDescent="0.25">
      <c r="N1480" s="53"/>
    </row>
    <row r="1481" spans="14:14" x14ac:dyDescent="0.25">
      <c r="N1481" s="53"/>
    </row>
    <row r="1482" spans="14:14" x14ac:dyDescent="0.25">
      <c r="N1482" s="53"/>
    </row>
    <row r="1483" spans="14:14" x14ac:dyDescent="0.25">
      <c r="N1483" s="53"/>
    </row>
    <row r="1484" spans="14:14" x14ac:dyDescent="0.25">
      <c r="N1484" s="53"/>
    </row>
    <row r="1485" spans="14:14" x14ac:dyDescent="0.25">
      <c r="N1485" s="53"/>
    </row>
    <row r="1486" spans="14:14" x14ac:dyDescent="0.25">
      <c r="N1486" s="53"/>
    </row>
    <row r="1487" spans="14:14" x14ac:dyDescent="0.25">
      <c r="N1487" s="53"/>
    </row>
    <row r="1488" spans="14:14" x14ac:dyDescent="0.25">
      <c r="N1488" s="53"/>
    </row>
    <row r="1489" spans="14:14" x14ac:dyDescent="0.25">
      <c r="N1489" s="53"/>
    </row>
    <row r="1490" spans="14:14" x14ac:dyDescent="0.25">
      <c r="N1490" s="53"/>
    </row>
    <row r="1491" spans="14:14" x14ac:dyDescent="0.25">
      <c r="N1491" s="53"/>
    </row>
    <row r="1492" spans="14:14" x14ac:dyDescent="0.25">
      <c r="N1492" s="53"/>
    </row>
    <row r="1493" spans="14:14" x14ac:dyDescent="0.25">
      <c r="N1493" s="53"/>
    </row>
    <row r="1494" spans="14:14" x14ac:dyDescent="0.25">
      <c r="N1494" s="53"/>
    </row>
    <row r="1495" spans="14:14" x14ac:dyDescent="0.25">
      <c r="N1495" s="53"/>
    </row>
    <row r="1496" spans="14:14" x14ac:dyDescent="0.25">
      <c r="N1496" s="53"/>
    </row>
    <row r="1497" spans="14:14" x14ac:dyDescent="0.25">
      <c r="N1497" s="53"/>
    </row>
    <row r="1498" spans="14:14" x14ac:dyDescent="0.25">
      <c r="N1498" s="53"/>
    </row>
    <row r="1499" spans="14:14" x14ac:dyDescent="0.25">
      <c r="N1499" s="53"/>
    </row>
    <row r="1500" spans="14:14" x14ac:dyDescent="0.25">
      <c r="N1500" s="53"/>
    </row>
    <row r="1501" spans="14:14" x14ac:dyDescent="0.25">
      <c r="N1501" s="53"/>
    </row>
    <row r="1502" spans="14:14" x14ac:dyDescent="0.25">
      <c r="N1502" s="53"/>
    </row>
    <row r="1503" spans="14:14" x14ac:dyDescent="0.25">
      <c r="N1503" s="53"/>
    </row>
    <row r="1504" spans="14:14" x14ac:dyDescent="0.25">
      <c r="N1504" s="53"/>
    </row>
    <row r="1505" spans="14:14" x14ac:dyDescent="0.25">
      <c r="N1505" s="53"/>
    </row>
    <row r="1506" spans="14:14" x14ac:dyDescent="0.25">
      <c r="N1506" s="53"/>
    </row>
    <row r="1507" spans="14:14" x14ac:dyDescent="0.25">
      <c r="N1507" s="53"/>
    </row>
    <row r="1508" spans="14:14" x14ac:dyDescent="0.25">
      <c r="N1508" s="53"/>
    </row>
    <row r="1509" spans="14:14" x14ac:dyDescent="0.25">
      <c r="N1509" s="53"/>
    </row>
    <row r="1510" spans="14:14" x14ac:dyDescent="0.25">
      <c r="N1510" s="53"/>
    </row>
    <row r="1511" spans="14:14" x14ac:dyDescent="0.25">
      <c r="N1511" s="53"/>
    </row>
    <row r="1512" spans="14:14" x14ac:dyDescent="0.25">
      <c r="N1512" s="53"/>
    </row>
    <row r="1513" spans="14:14" x14ac:dyDescent="0.25">
      <c r="N1513" s="53"/>
    </row>
    <row r="1514" spans="14:14" x14ac:dyDescent="0.25">
      <c r="N1514" s="53"/>
    </row>
    <row r="1515" spans="14:14" x14ac:dyDescent="0.25">
      <c r="N1515" s="53"/>
    </row>
    <row r="1516" spans="14:14" x14ac:dyDescent="0.25">
      <c r="N1516" s="53"/>
    </row>
    <row r="1517" spans="14:14" x14ac:dyDescent="0.25">
      <c r="N1517" s="53"/>
    </row>
    <row r="1518" spans="14:14" x14ac:dyDescent="0.25">
      <c r="N1518" s="53"/>
    </row>
    <row r="1519" spans="14:14" x14ac:dyDescent="0.25">
      <c r="N1519" s="53"/>
    </row>
    <row r="1520" spans="14:14" x14ac:dyDescent="0.25">
      <c r="N1520" s="53"/>
    </row>
    <row r="1521" spans="14:14" x14ac:dyDescent="0.25">
      <c r="N1521" s="53"/>
    </row>
    <row r="1522" spans="14:14" x14ac:dyDescent="0.25">
      <c r="N1522" s="53"/>
    </row>
    <row r="1523" spans="14:14" x14ac:dyDescent="0.25">
      <c r="N1523" s="53"/>
    </row>
    <row r="1524" spans="14:14" x14ac:dyDescent="0.25">
      <c r="N1524" s="53"/>
    </row>
    <row r="1525" spans="14:14" x14ac:dyDescent="0.25">
      <c r="N1525" s="53"/>
    </row>
    <row r="1526" spans="14:14" x14ac:dyDescent="0.25">
      <c r="N1526" s="53"/>
    </row>
    <row r="1527" spans="14:14" x14ac:dyDescent="0.25">
      <c r="N1527" s="53"/>
    </row>
    <row r="1528" spans="14:14" x14ac:dyDescent="0.25">
      <c r="N1528" s="53"/>
    </row>
    <row r="1529" spans="14:14" x14ac:dyDescent="0.25">
      <c r="N1529" s="53"/>
    </row>
    <row r="1530" spans="14:14" x14ac:dyDescent="0.25">
      <c r="N1530" s="53"/>
    </row>
    <row r="1531" spans="14:14" x14ac:dyDescent="0.25">
      <c r="N1531" s="53"/>
    </row>
    <row r="1532" spans="14:14" x14ac:dyDescent="0.25">
      <c r="N1532" s="53"/>
    </row>
    <row r="1533" spans="14:14" x14ac:dyDescent="0.25">
      <c r="N1533" s="53"/>
    </row>
    <row r="1534" spans="14:14" x14ac:dyDescent="0.25">
      <c r="N1534" s="53"/>
    </row>
    <row r="1535" spans="14:14" x14ac:dyDescent="0.25">
      <c r="N1535" s="53"/>
    </row>
    <row r="1536" spans="14:14" x14ac:dyDescent="0.25">
      <c r="N1536" s="53"/>
    </row>
    <row r="1537" spans="14:14" x14ac:dyDescent="0.25">
      <c r="N1537" s="53"/>
    </row>
    <row r="1538" spans="14:14" x14ac:dyDescent="0.25">
      <c r="N1538" s="53"/>
    </row>
    <row r="1539" spans="14:14" x14ac:dyDescent="0.25">
      <c r="N1539" s="53"/>
    </row>
    <row r="1540" spans="14:14" x14ac:dyDescent="0.25">
      <c r="N1540" s="53"/>
    </row>
    <row r="1541" spans="14:14" x14ac:dyDescent="0.25">
      <c r="N1541" s="53"/>
    </row>
    <row r="1542" spans="14:14" x14ac:dyDescent="0.25">
      <c r="N1542" s="53"/>
    </row>
    <row r="1543" spans="14:14" x14ac:dyDescent="0.25">
      <c r="N1543" s="53"/>
    </row>
    <row r="1544" spans="14:14" x14ac:dyDescent="0.25">
      <c r="N1544" s="53"/>
    </row>
    <row r="1545" spans="14:14" x14ac:dyDescent="0.25">
      <c r="N1545" s="53"/>
    </row>
    <row r="1546" spans="14:14" x14ac:dyDescent="0.25">
      <c r="N1546" s="53"/>
    </row>
    <row r="1547" spans="14:14" x14ac:dyDescent="0.25">
      <c r="N1547" s="53"/>
    </row>
    <row r="1548" spans="14:14" x14ac:dyDescent="0.25">
      <c r="N1548" s="53"/>
    </row>
    <row r="1549" spans="14:14" x14ac:dyDescent="0.25">
      <c r="N1549" s="53"/>
    </row>
    <row r="1550" spans="14:14" x14ac:dyDescent="0.25">
      <c r="N1550" s="53"/>
    </row>
    <row r="1551" spans="14:14" x14ac:dyDescent="0.25">
      <c r="N1551" s="53"/>
    </row>
    <row r="1552" spans="14:14" x14ac:dyDescent="0.25">
      <c r="N1552" s="53"/>
    </row>
    <row r="1553" spans="14:14" x14ac:dyDescent="0.25">
      <c r="N1553" s="53"/>
    </row>
    <row r="1554" spans="14:14" x14ac:dyDescent="0.25">
      <c r="N1554" s="53"/>
    </row>
    <row r="1555" spans="14:14" x14ac:dyDescent="0.25">
      <c r="N1555" s="53"/>
    </row>
    <row r="1556" spans="14:14" x14ac:dyDescent="0.25">
      <c r="N1556" s="53"/>
    </row>
    <row r="1557" spans="14:14" x14ac:dyDescent="0.25">
      <c r="N1557" s="53"/>
    </row>
    <row r="1558" spans="14:14" x14ac:dyDescent="0.25">
      <c r="N1558" s="53"/>
    </row>
    <row r="1559" spans="14:14" x14ac:dyDescent="0.25">
      <c r="N1559" s="53"/>
    </row>
    <row r="1560" spans="14:14" x14ac:dyDescent="0.25">
      <c r="N1560" s="53"/>
    </row>
    <row r="1561" spans="14:14" x14ac:dyDescent="0.25">
      <c r="N1561" s="53"/>
    </row>
    <row r="1562" spans="14:14" x14ac:dyDescent="0.25">
      <c r="N1562" s="53"/>
    </row>
    <row r="1563" spans="14:14" x14ac:dyDescent="0.25">
      <c r="N1563" s="53"/>
    </row>
    <row r="1564" spans="14:14" x14ac:dyDescent="0.25">
      <c r="N1564" s="53"/>
    </row>
    <row r="1565" spans="14:14" x14ac:dyDescent="0.25">
      <c r="N1565" s="53"/>
    </row>
    <row r="1566" spans="14:14" x14ac:dyDescent="0.25">
      <c r="N1566" s="53"/>
    </row>
    <row r="1567" spans="14:14" x14ac:dyDescent="0.25">
      <c r="N1567" s="53"/>
    </row>
    <row r="1568" spans="14:14" x14ac:dyDescent="0.25">
      <c r="N1568" s="53"/>
    </row>
    <row r="1569" spans="14:14" x14ac:dyDescent="0.25">
      <c r="N1569" s="53"/>
    </row>
    <row r="1570" spans="14:14" x14ac:dyDescent="0.25">
      <c r="N1570" s="53"/>
    </row>
    <row r="1571" spans="14:14" x14ac:dyDescent="0.25">
      <c r="N1571" s="53"/>
    </row>
    <row r="1572" spans="14:14" x14ac:dyDescent="0.25">
      <c r="N1572" s="53"/>
    </row>
    <row r="1573" spans="14:14" x14ac:dyDescent="0.25">
      <c r="N1573" s="53"/>
    </row>
    <row r="1574" spans="14:14" x14ac:dyDescent="0.25">
      <c r="N1574" s="53"/>
    </row>
    <row r="1575" spans="14:14" x14ac:dyDescent="0.25">
      <c r="N1575" s="53"/>
    </row>
    <row r="1576" spans="14:14" x14ac:dyDescent="0.25">
      <c r="N1576" s="53"/>
    </row>
    <row r="1577" spans="14:14" x14ac:dyDescent="0.25">
      <c r="N1577" s="53"/>
    </row>
    <row r="1578" spans="14:14" x14ac:dyDescent="0.25">
      <c r="N1578" s="53"/>
    </row>
    <row r="1579" spans="14:14" x14ac:dyDescent="0.25">
      <c r="N1579" s="53"/>
    </row>
    <row r="1580" spans="14:14" x14ac:dyDescent="0.25">
      <c r="N1580" s="53"/>
    </row>
    <row r="1581" spans="14:14" x14ac:dyDescent="0.25">
      <c r="N1581" s="53"/>
    </row>
    <row r="1582" spans="14:14" x14ac:dyDescent="0.25">
      <c r="N1582" s="53"/>
    </row>
    <row r="1583" spans="14:14" x14ac:dyDescent="0.25">
      <c r="N1583" s="53"/>
    </row>
    <row r="1584" spans="14:14" x14ac:dyDescent="0.25">
      <c r="N1584" s="53"/>
    </row>
    <row r="1585" spans="14:14" x14ac:dyDescent="0.25">
      <c r="N1585" s="53"/>
    </row>
    <row r="1586" spans="14:14" x14ac:dyDescent="0.25">
      <c r="N1586" s="53"/>
    </row>
    <row r="1587" spans="14:14" x14ac:dyDescent="0.25">
      <c r="N1587" s="53"/>
    </row>
    <row r="1588" spans="14:14" x14ac:dyDescent="0.25">
      <c r="N1588" s="53"/>
    </row>
    <row r="1589" spans="14:14" x14ac:dyDescent="0.25">
      <c r="N1589" s="53"/>
    </row>
    <row r="1590" spans="14:14" x14ac:dyDescent="0.25">
      <c r="N1590" s="53"/>
    </row>
    <row r="1591" spans="14:14" x14ac:dyDescent="0.25">
      <c r="N1591" s="53"/>
    </row>
    <row r="1592" spans="14:14" x14ac:dyDescent="0.25">
      <c r="N1592" s="53"/>
    </row>
    <row r="1593" spans="14:14" x14ac:dyDescent="0.25">
      <c r="N1593" s="53"/>
    </row>
    <row r="1594" spans="14:14" x14ac:dyDescent="0.25">
      <c r="N1594" s="53"/>
    </row>
    <row r="1595" spans="14:14" x14ac:dyDescent="0.25">
      <c r="N1595" s="53"/>
    </row>
    <row r="1596" spans="14:14" x14ac:dyDescent="0.25">
      <c r="N1596" s="53"/>
    </row>
    <row r="1597" spans="14:14" x14ac:dyDescent="0.25">
      <c r="N1597" s="53"/>
    </row>
    <row r="1598" spans="14:14" x14ac:dyDescent="0.25">
      <c r="N1598" s="53"/>
    </row>
    <row r="1599" spans="14:14" x14ac:dyDescent="0.25">
      <c r="N1599" s="53"/>
    </row>
    <row r="1600" spans="14:14" x14ac:dyDescent="0.25">
      <c r="N1600" s="53"/>
    </row>
    <row r="1601" spans="14:14" x14ac:dyDescent="0.25">
      <c r="N1601" s="53"/>
    </row>
    <row r="1602" spans="14:14" x14ac:dyDescent="0.25">
      <c r="N1602" s="53"/>
    </row>
    <row r="1603" spans="14:14" x14ac:dyDescent="0.25">
      <c r="N1603" s="53"/>
    </row>
    <row r="1604" spans="14:14" x14ac:dyDescent="0.25">
      <c r="N1604" s="53"/>
    </row>
    <row r="1605" spans="14:14" x14ac:dyDescent="0.25">
      <c r="N1605" s="53"/>
    </row>
    <row r="1606" spans="14:14" x14ac:dyDescent="0.25">
      <c r="N1606" s="53"/>
    </row>
    <row r="1607" spans="14:14" x14ac:dyDescent="0.25">
      <c r="N1607" s="53"/>
    </row>
    <row r="1608" spans="14:14" x14ac:dyDescent="0.25">
      <c r="N1608" s="53"/>
    </row>
    <row r="1609" spans="14:14" x14ac:dyDescent="0.25">
      <c r="N1609" s="53"/>
    </row>
    <row r="1610" spans="14:14" x14ac:dyDescent="0.25">
      <c r="N1610" s="53"/>
    </row>
    <row r="1611" spans="14:14" x14ac:dyDescent="0.25">
      <c r="N1611" s="53"/>
    </row>
    <row r="1612" spans="14:14" x14ac:dyDescent="0.25">
      <c r="N1612" s="53"/>
    </row>
    <row r="1613" spans="14:14" x14ac:dyDescent="0.25">
      <c r="N1613" s="53"/>
    </row>
    <row r="1614" spans="14:14" x14ac:dyDescent="0.25">
      <c r="N1614" s="53"/>
    </row>
    <row r="1615" spans="14:14" x14ac:dyDescent="0.25">
      <c r="N1615" s="53"/>
    </row>
    <row r="1616" spans="14:14" x14ac:dyDescent="0.25">
      <c r="N1616" s="53"/>
    </row>
    <row r="1617" spans="14:14" x14ac:dyDescent="0.25">
      <c r="N1617" s="53"/>
    </row>
    <row r="1618" spans="14:14" x14ac:dyDescent="0.25">
      <c r="N1618" s="53"/>
    </row>
    <row r="1619" spans="14:14" x14ac:dyDescent="0.25">
      <c r="N1619" s="53"/>
    </row>
    <row r="1620" spans="14:14" x14ac:dyDescent="0.25">
      <c r="N1620" s="53"/>
    </row>
    <row r="1621" spans="14:14" x14ac:dyDescent="0.25">
      <c r="N1621" s="53"/>
    </row>
    <row r="1622" spans="14:14" x14ac:dyDescent="0.25">
      <c r="N1622" s="53"/>
    </row>
    <row r="1623" spans="14:14" x14ac:dyDescent="0.25">
      <c r="N1623" s="53"/>
    </row>
    <row r="1624" spans="14:14" x14ac:dyDescent="0.25">
      <c r="N1624" s="53"/>
    </row>
    <row r="1625" spans="14:14" x14ac:dyDescent="0.25">
      <c r="N1625" s="53"/>
    </row>
    <row r="1626" spans="14:14" x14ac:dyDescent="0.25">
      <c r="N1626" s="53"/>
    </row>
    <row r="1627" spans="14:14" x14ac:dyDescent="0.25">
      <c r="N1627" s="53"/>
    </row>
    <row r="1628" spans="14:14" x14ac:dyDescent="0.25">
      <c r="N1628" s="53"/>
    </row>
    <row r="1629" spans="14:14" x14ac:dyDescent="0.25">
      <c r="N1629" s="53"/>
    </row>
    <row r="1630" spans="14:14" x14ac:dyDescent="0.25">
      <c r="N1630" s="53"/>
    </row>
    <row r="1631" spans="14:14" x14ac:dyDescent="0.25">
      <c r="N1631" s="53"/>
    </row>
    <row r="1632" spans="14:14" x14ac:dyDescent="0.25">
      <c r="N1632" s="53"/>
    </row>
    <row r="1633" spans="14:14" x14ac:dyDescent="0.25">
      <c r="N1633" s="53"/>
    </row>
    <row r="1634" spans="14:14" x14ac:dyDescent="0.25">
      <c r="N1634" s="53"/>
    </row>
    <row r="1635" spans="14:14" x14ac:dyDescent="0.25">
      <c r="N1635" s="53"/>
    </row>
    <row r="1636" spans="14:14" x14ac:dyDescent="0.25">
      <c r="N1636" s="53"/>
    </row>
    <row r="1637" spans="14:14" x14ac:dyDescent="0.25">
      <c r="N1637" s="53"/>
    </row>
    <row r="1638" spans="14:14" x14ac:dyDescent="0.25">
      <c r="N1638" s="53"/>
    </row>
    <row r="1639" spans="14:14" x14ac:dyDescent="0.25">
      <c r="N1639" s="53"/>
    </row>
    <row r="1640" spans="14:14" x14ac:dyDescent="0.25">
      <c r="N1640" s="53"/>
    </row>
    <row r="1641" spans="14:14" x14ac:dyDescent="0.25">
      <c r="N1641" s="53"/>
    </row>
    <row r="1642" spans="14:14" x14ac:dyDescent="0.25">
      <c r="N1642" s="53"/>
    </row>
    <row r="1643" spans="14:14" x14ac:dyDescent="0.25">
      <c r="N1643" s="53"/>
    </row>
    <row r="1644" spans="14:14" x14ac:dyDescent="0.25">
      <c r="N1644" s="53"/>
    </row>
    <row r="1645" spans="14:14" x14ac:dyDescent="0.25">
      <c r="N1645" s="53"/>
    </row>
    <row r="1646" spans="14:14" x14ac:dyDescent="0.25">
      <c r="N1646" s="53"/>
    </row>
    <row r="1647" spans="14:14" x14ac:dyDescent="0.25">
      <c r="N1647" s="53"/>
    </row>
    <row r="1648" spans="14:14" x14ac:dyDescent="0.25">
      <c r="N1648" s="53"/>
    </row>
    <row r="1649" spans="14:14" x14ac:dyDescent="0.25">
      <c r="N1649" s="53"/>
    </row>
    <row r="1650" spans="14:14" x14ac:dyDescent="0.25">
      <c r="N1650" s="53"/>
    </row>
    <row r="1651" spans="14:14" x14ac:dyDescent="0.25">
      <c r="N1651" s="53"/>
    </row>
    <row r="1652" spans="14:14" x14ac:dyDescent="0.25">
      <c r="N1652" s="53"/>
    </row>
    <row r="1653" spans="14:14" x14ac:dyDescent="0.25">
      <c r="N1653" s="53"/>
    </row>
    <row r="1654" spans="14:14" x14ac:dyDescent="0.25">
      <c r="N1654" s="53"/>
    </row>
    <row r="1655" spans="14:14" x14ac:dyDescent="0.25">
      <c r="N1655" s="53"/>
    </row>
    <row r="1656" spans="14:14" x14ac:dyDescent="0.25">
      <c r="N1656" s="53"/>
    </row>
    <row r="1657" spans="14:14" x14ac:dyDescent="0.25">
      <c r="N1657" s="53"/>
    </row>
    <row r="1658" spans="14:14" x14ac:dyDescent="0.25">
      <c r="N1658" s="53"/>
    </row>
    <row r="1659" spans="14:14" x14ac:dyDescent="0.25">
      <c r="N1659" s="53"/>
    </row>
    <row r="1660" spans="14:14" x14ac:dyDescent="0.25">
      <c r="N1660" s="53"/>
    </row>
    <row r="1661" spans="14:14" x14ac:dyDescent="0.25">
      <c r="N1661" s="53"/>
    </row>
    <row r="1662" spans="14:14" x14ac:dyDescent="0.25">
      <c r="N1662" s="53"/>
    </row>
    <row r="1663" spans="14:14" x14ac:dyDescent="0.25">
      <c r="N1663" s="53"/>
    </row>
    <row r="1664" spans="14:14" x14ac:dyDescent="0.25">
      <c r="N1664" s="53"/>
    </row>
    <row r="1665" spans="14:14" x14ac:dyDescent="0.25">
      <c r="N1665" s="53"/>
    </row>
    <row r="1666" spans="14:14" x14ac:dyDescent="0.25">
      <c r="N1666" s="53"/>
    </row>
    <row r="1667" spans="14:14" x14ac:dyDescent="0.25">
      <c r="N1667" s="53"/>
    </row>
    <row r="1668" spans="14:14" x14ac:dyDescent="0.25">
      <c r="N1668" s="53"/>
    </row>
    <row r="1669" spans="14:14" x14ac:dyDescent="0.25">
      <c r="N1669" s="53"/>
    </row>
    <row r="1670" spans="14:14" x14ac:dyDescent="0.25">
      <c r="N1670" s="53"/>
    </row>
    <row r="1671" spans="14:14" x14ac:dyDescent="0.25">
      <c r="N1671" s="53"/>
    </row>
    <row r="1672" spans="14:14" x14ac:dyDescent="0.25">
      <c r="N1672" s="53"/>
    </row>
    <row r="1673" spans="14:14" x14ac:dyDescent="0.25">
      <c r="N1673" s="53"/>
    </row>
    <row r="1674" spans="14:14" x14ac:dyDescent="0.25">
      <c r="N1674" s="53"/>
    </row>
    <row r="1675" spans="14:14" x14ac:dyDescent="0.25">
      <c r="N1675" s="53"/>
    </row>
    <row r="1676" spans="14:14" x14ac:dyDescent="0.25">
      <c r="N1676" s="53"/>
    </row>
    <row r="1677" spans="14:14" x14ac:dyDescent="0.25">
      <c r="N1677" s="53"/>
    </row>
    <row r="1678" spans="14:14" x14ac:dyDescent="0.25">
      <c r="N1678" s="53"/>
    </row>
    <row r="1679" spans="14:14" x14ac:dyDescent="0.25">
      <c r="N1679" s="53"/>
    </row>
    <row r="1680" spans="14:14" x14ac:dyDescent="0.25">
      <c r="N1680" s="53"/>
    </row>
    <row r="1681" spans="14:14" x14ac:dyDescent="0.25">
      <c r="N1681" s="53"/>
    </row>
    <row r="1682" spans="14:14" x14ac:dyDescent="0.25">
      <c r="N1682" s="53"/>
    </row>
    <row r="1683" spans="14:14" x14ac:dyDescent="0.25">
      <c r="N1683" s="53"/>
    </row>
    <row r="1684" spans="14:14" x14ac:dyDescent="0.25">
      <c r="N1684" s="53"/>
    </row>
    <row r="1685" spans="14:14" x14ac:dyDescent="0.25">
      <c r="N1685" s="53"/>
    </row>
    <row r="1686" spans="14:14" x14ac:dyDescent="0.25">
      <c r="N1686" s="53"/>
    </row>
    <row r="1687" spans="14:14" x14ac:dyDescent="0.25">
      <c r="N1687" s="53"/>
    </row>
    <row r="1688" spans="14:14" x14ac:dyDescent="0.25">
      <c r="N1688" s="53"/>
    </row>
    <row r="1689" spans="14:14" x14ac:dyDescent="0.25">
      <c r="N1689" s="53"/>
    </row>
    <row r="1690" spans="14:14" x14ac:dyDescent="0.25">
      <c r="N1690" s="53"/>
    </row>
    <row r="1691" spans="14:14" x14ac:dyDescent="0.25">
      <c r="N1691" s="53"/>
    </row>
    <row r="1692" spans="14:14" x14ac:dyDescent="0.25">
      <c r="N1692" s="53"/>
    </row>
    <row r="1693" spans="14:14" x14ac:dyDescent="0.25">
      <c r="N1693" s="53"/>
    </row>
    <row r="1694" spans="14:14" x14ac:dyDescent="0.25">
      <c r="N1694" s="53"/>
    </row>
    <row r="1695" spans="14:14" x14ac:dyDescent="0.25">
      <c r="N1695" s="53"/>
    </row>
    <row r="1696" spans="14:14" x14ac:dyDescent="0.25">
      <c r="N1696" s="53"/>
    </row>
    <row r="1697" spans="14:14" x14ac:dyDescent="0.25">
      <c r="N1697" s="53"/>
    </row>
    <row r="1698" spans="14:14" x14ac:dyDescent="0.25">
      <c r="N1698" s="53"/>
    </row>
    <row r="1699" spans="14:14" x14ac:dyDescent="0.25">
      <c r="N1699" s="53"/>
    </row>
    <row r="1700" spans="14:14" x14ac:dyDescent="0.25">
      <c r="N1700" s="53"/>
    </row>
    <row r="1701" spans="14:14" x14ac:dyDescent="0.25">
      <c r="N1701" s="53"/>
    </row>
    <row r="1702" spans="14:14" x14ac:dyDescent="0.25">
      <c r="N1702" s="53"/>
    </row>
    <row r="1703" spans="14:14" x14ac:dyDescent="0.25">
      <c r="N1703" s="53"/>
    </row>
    <row r="1704" spans="14:14" x14ac:dyDescent="0.25">
      <c r="N1704" s="53"/>
    </row>
    <row r="1705" spans="14:14" x14ac:dyDescent="0.25">
      <c r="N1705" s="53"/>
    </row>
    <row r="1706" spans="14:14" x14ac:dyDescent="0.25">
      <c r="N1706" s="53"/>
    </row>
    <row r="1707" spans="14:14" x14ac:dyDescent="0.25">
      <c r="N1707" s="53"/>
    </row>
    <row r="1708" spans="14:14" x14ac:dyDescent="0.25">
      <c r="N1708" s="53"/>
    </row>
    <row r="1709" spans="14:14" x14ac:dyDescent="0.25">
      <c r="N1709" s="53"/>
    </row>
    <row r="1710" spans="14:14" x14ac:dyDescent="0.25">
      <c r="N1710" s="53"/>
    </row>
    <row r="1711" spans="14:14" x14ac:dyDescent="0.25">
      <c r="N1711" s="53"/>
    </row>
    <row r="1712" spans="14:14" x14ac:dyDescent="0.25">
      <c r="N1712" s="53"/>
    </row>
    <row r="1713" spans="14:14" x14ac:dyDescent="0.25">
      <c r="N1713" s="53"/>
    </row>
    <row r="1714" spans="14:14" x14ac:dyDescent="0.25">
      <c r="N1714" s="53"/>
    </row>
    <row r="1715" spans="14:14" x14ac:dyDescent="0.25">
      <c r="N1715" s="53"/>
    </row>
    <row r="1716" spans="14:14" x14ac:dyDescent="0.25">
      <c r="N1716" s="53"/>
    </row>
    <row r="1717" spans="14:14" x14ac:dyDescent="0.25">
      <c r="N1717" s="53"/>
    </row>
    <row r="1718" spans="14:14" x14ac:dyDescent="0.25">
      <c r="N1718" s="53"/>
    </row>
    <row r="1719" spans="14:14" x14ac:dyDescent="0.25">
      <c r="N1719" s="53"/>
    </row>
    <row r="1720" spans="14:14" x14ac:dyDescent="0.25">
      <c r="N1720" s="53"/>
    </row>
    <row r="1721" spans="14:14" x14ac:dyDescent="0.25">
      <c r="N1721" s="53"/>
    </row>
    <row r="1722" spans="14:14" x14ac:dyDescent="0.25">
      <c r="N1722" s="53"/>
    </row>
    <row r="1723" spans="14:14" x14ac:dyDescent="0.25">
      <c r="N1723" s="53"/>
    </row>
    <row r="1724" spans="14:14" x14ac:dyDescent="0.25">
      <c r="N1724" s="53"/>
    </row>
    <row r="1725" spans="14:14" x14ac:dyDescent="0.25">
      <c r="N1725" s="53"/>
    </row>
    <row r="1726" spans="14:14" x14ac:dyDescent="0.25">
      <c r="N1726" s="53"/>
    </row>
    <row r="1727" spans="14:14" x14ac:dyDescent="0.25">
      <c r="N1727" s="53"/>
    </row>
    <row r="1728" spans="14:14" x14ac:dyDescent="0.25">
      <c r="N1728" s="53"/>
    </row>
    <row r="1729" spans="14:14" x14ac:dyDescent="0.25">
      <c r="N1729" s="53"/>
    </row>
    <row r="1730" spans="14:14" x14ac:dyDescent="0.25">
      <c r="N1730" s="53"/>
    </row>
    <row r="1731" spans="14:14" x14ac:dyDescent="0.25">
      <c r="N1731" s="53"/>
    </row>
    <row r="1732" spans="14:14" x14ac:dyDescent="0.25">
      <c r="N1732" s="53"/>
    </row>
    <row r="1733" spans="14:14" x14ac:dyDescent="0.25">
      <c r="N1733" s="53"/>
    </row>
    <row r="1734" spans="14:14" x14ac:dyDescent="0.25">
      <c r="N1734" s="53"/>
    </row>
    <row r="1735" spans="14:14" x14ac:dyDescent="0.25">
      <c r="N1735" s="53"/>
    </row>
    <row r="1736" spans="14:14" x14ac:dyDescent="0.25">
      <c r="N1736" s="53"/>
    </row>
    <row r="1737" spans="14:14" x14ac:dyDescent="0.25">
      <c r="N1737" s="53"/>
    </row>
    <row r="1738" spans="14:14" x14ac:dyDescent="0.25">
      <c r="N1738" s="53"/>
    </row>
    <row r="1739" spans="14:14" x14ac:dyDescent="0.25">
      <c r="N1739" s="53"/>
    </row>
    <row r="1740" spans="14:14" x14ac:dyDescent="0.25">
      <c r="N1740" s="53"/>
    </row>
    <row r="1741" spans="14:14" x14ac:dyDescent="0.25">
      <c r="N1741" s="53"/>
    </row>
    <row r="1742" spans="14:14" x14ac:dyDescent="0.25">
      <c r="N1742" s="53"/>
    </row>
    <row r="1743" spans="14:14" x14ac:dyDescent="0.25">
      <c r="N1743" s="53"/>
    </row>
    <row r="1744" spans="14:14" x14ac:dyDescent="0.25">
      <c r="N1744" s="53"/>
    </row>
    <row r="1745" spans="14:14" x14ac:dyDescent="0.25">
      <c r="N1745" s="53"/>
    </row>
    <row r="1746" spans="14:14" x14ac:dyDescent="0.25">
      <c r="N1746" s="53"/>
    </row>
    <row r="1747" spans="14:14" x14ac:dyDescent="0.25">
      <c r="N1747" s="53"/>
    </row>
    <row r="1748" spans="14:14" x14ac:dyDescent="0.25">
      <c r="N1748" s="53"/>
    </row>
    <row r="1749" spans="14:14" x14ac:dyDescent="0.25">
      <c r="N1749" s="53"/>
    </row>
    <row r="1750" spans="14:14" x14ac:dyDescent="0.25">
      <c r="N1750" s="53"/>
    </row>
    <row r="1751" spans="14:14" x14ac:dyDescent="0.25">
      <c r="N1751" s="53"/>
    </row>
    <row r="1752" spans="14:14" x14ac:dyDescent="0.25">
      <c r="N1752" s="53"/>
    </row>
    <row r="1753" spans="14:14" x14ac:dyDescent="0.25">
      <c r="N1753" s="53"/>
    </row>
    <row r="1754" spans="14:14" x14ac:dyDescent="0.25">
      <c r="N1754" s="53"/>
    </row>
    <row r="1755" spans="14:14" x14ac:dyDescent="0.25">
      <c r="N1755" s="53"/>
    </row>
    <row r="1756" spans="14:14" x14ac:dyDescent="0.25">
      <c r="N1756" s="53"/>
    </row>
    <row r="1757" spans="14:14" x14ac:dyDescent="0.25">
      <c r="N1757" s="53"/>
    </row>
    <row r="1758" spans="14:14" x14ac:dyDescent="0.25">
      <c r="N1758" s="53"/>
    </row>
    <row r="1759" spans="14:14" x14ac:dyDescent="0.25">
      <c r="N1759" s="53"/>
    </row>
    <row r="1760" spans="14:14" x14ac:dyDescent="0.25">
      <c r="N1760" s="53"/>
    </row>
    <row r="1761" spans="14:14" x14ac:dyDescent="0.25">
      <c r="N1761" s="53"/>
    </row>
    <row r="1762" spans="14:14" x14ac:dyDescent="0.25">
      <c r="N1762" s="53"/>
    </row>
    <row r="1763" spans="14:14" x14ac:dyDescent="0.25">
      <c r="N1763" s="53"/>
    </row>
    <row r="1764" spans="14:14" x14ac:dyDescent="0.25">
      <c r="N1764" s="53"/>
    </row>
    <row r="1765" spans="14:14" x14ac:dyDescent="0.25">
      <c r="N1765" s="53"/>
    </row>
    <row r="1766" spans="14:14" x14ac:dyDescent="0.25">
      <c r="N1766" s="53"/>
    </row>
    <row r="1767" spans="14:14" x14ac:dyDescent="0.25">
      <c r="N1767" s="53"/>
    </row>
    <row r="1768" spans="14:14" x14ac:dyDescent="0.25">
      <c r="N1768" s="53"/>
    </row>
    <row r="1769" spans="14:14" x14ac:dyDescent="0.25">
      <c r="N1769" s="53"/>
    </row>
    <row r="1770" spans="14:14" x14ac:dyDescent="0.25">
      <c r="N1770" s="53"/>
    </row>
    <row r="1771" spans="14:14" x14ac:dyDescent="0.25">
      <c r="N1771" s="53"/>
    </row>
    <row r="1772" spans="14:14" x14ac:dyDescent="0.25">
      <c r="N1772" s="53"/>
    </row>
    <row r="1773" spans="14:14" x14ac:dyDescent="0.25">
      <c r="N1773" s="53"/>
    </row>
    <row r="1774" spans="14:14" x14ac:dyDescent="0.25">
      <c r="N1774" s="53"/>
    </row>
    <row r="1775" spans="14:14" x14ac:dyDescent="0.25">
      <c r="N1775" s="53"/>
    </row>
    <row r="1776" spans="14:14" x14ac:dyDescent="0.25">
      <c r="N1776" s="53"/>
    </row>
    <row r="1777" spans="14:14" x14ac:dyDescent="0.25">
      <c r="N1777" s="53"/>
    </row>
    <row r="1778" spans="14:14" x14ac:dyDescent="0.25">
      <c r="N1778" s="53"/>
    </row>
    <row r="1779" spans="14:14" x14ac:dyDescent="0.25">
      <c r="N1779" s="53"/>
    </row>
    <row r="1780" spans="14:14" x14ac:dyDescent="0.25">
      <c r="N1780" s="53"/>
    </row>
    <row r="1781" spans="14:14" x14ac:dyDescent="0.25">
      <c r="N1781" s="53"/>
    </row>
    <row r="1782" spans="14:14" x14ac:dyDescent="0.25">
      <c r="N1782" s="53"/>
    </row>
    <row r="1783" spans="14:14" x14ac:dyDescent="0.25">
      <c r="N1783" s="53"/>
    </row>
    <row r="1784" spans="14:14" x14ac:dyDescent="0.25">
      <c r="N1784" s="53"/>
    </row>
    <row r="1785" spans="14:14" x14ac:dyDescent="0.25">
      <c r="N1785" s="53"/>
    </row>
    <row r="1786" spans="14:14" x14ac:dyDescent="0.25">
      <c r="N1786" s="53"/>
    </row>
    <row r="1787" spans="14:14" x14ac:dyDescent="0.25">
      <c r="N1787" s="53"/>
    </row>
    <row r="1788" spans="14:14" x14ac:dyDescent="0.25">
      <c r="N1788" s="53"/>
    </row>
    <row r="1789" spans="14:14" x14ac:dyDescent="0.25">
      <c r="N1789" s="53"/>
    </row>
    <row r="1790" spans="14:14" x14ac:dyDescent="0.25">
      <c r="N1790" s="53"/>
    </row>
    <row r="1791" spans="14:14" x14ac:dyDescent="0.25">
      <c r="N1791" s="53"/>
    </row>
    <row r="1792" spans="14:14" x14ac:dyDescent="0.25">
      <c r="N1792" s="53"/>
    </row>
    <row r="1793" spans="14:14" x14ac:dyDescent="0.25">
      <c r="N1793" s="53"/>
    </row>
    <row r="1794" spans="14:14" x14ac:dyDescent="0.25">
      <c r="N1794" s="53"/>
    </row>
    <row r="1795" spans="14:14" x14ac:dyDescent="0.25">
      <c r="N1795" s="53"/>
    </row>
    <row r="1796" spans="14:14" x14ac:dyDescent="0.25">
      <c r="N1796" s="53"/>
    </row>
    <row r="1797" spans="14:14" x14ac:dyDescent="0.25">
      <c r="N1797" s="53"/>
    </row>
    <row r="1798" spans="14:14" x14ac:dyDescent="0.25">
      <c r="N1798" s="53"/>
    </row>
    <row r="1799" spans="14:14" x14ac:dyDescent="0.25">
      <c r="N1799" s="53"/>
    </row>
    <row r="1800" spans="14:14" x14ac:dyDescent="0.25">
      <c r="N1800" s="53"/>
    </row>
    <row r="1801" spans="14:14" x14ac:dyDescent="0.25">
      <c r="N1801" s="53"/>
    </row>
    <row r="1802" spans="14:14" x14ac:dyDescent="0.25">
      <c r="N1802" s="53"/>
    </row>
    <row r="1803" spans="14:14" x14ac:dyDescent="0.25">
      <c r="N1803" s="53"/>
    </row>
    <row r="1804" spans="14:14" x14ac:dyDescent="0.25">
      <c r="N1804" s="53"/>
    </row>
    <row r="1805" spans="14:14" x14ac:dyDescent="0.25">
      <c r="N1805" s="53"/>
    </row>
    <row r="1806" spans="14:14" x14ac:dyDescent="0.25">
      <c r="N1806" s="53"/>
    </row>
    <row r="1807" spans="14:14" x14ac:dyDescent="0.25">
      <c r="N1807" s="53"/>
    </row>
    <row r="1808" spans="14:14" x14ac:dyDescent="0.25">
      <c r="N1808" s="53"/>
    </row>
    <row r="1809" spans="14:14" x14ac:dyDescent="0.25">
      <c r="N1809" s="53"/>
    </row>
    <row r="1810" spans="14:14" x14ac:dyDescent="0.25">
      <c r="N1810" s="53"/>
    </row>
    <row r="1811" spans="14:14" x14ac:dyDescent="0.25">
      <c r="N1811" s="53"/>
    </row>
    <row r="1812" spans="14:14" x14ac:dyDescent="0.25">
      <c r="N1812" s="53"/>
    </row>
    <row r="1813" spans="14:14" x14ac:dyDescent="0.25">
      <c r="N1813" s="53"/>
    </row>
    <row r="1814" spans="14:14" x14ac:dyDescent="0.25">
      <c r="N1814" s="53"/>
    </row>
    <row r="1815" spans="14:14" x14ac:dyDescent="0.25">
      <c r="N1815" s="53"/>
    </row>
    <row r="1816" spans="14:14" x14ac:dyDescent="0.25">
      <c r="N1816" s="53"/>
    </row>
    <row r="1817" spans="14:14" x14ac:dyDescent="0.25">
      <c r="N1817" s="53"/>
    </row>
    <row r="1818" spans="14:14" x14ac:dyDescent="0.25">
      <c r="N1818" s="53"/>
    </row>
    <row r="1819" spans="14:14" x14ac:dyDescent="0.25">
      <c r="N1819" s="53"/>
    </row>
    <row r="1820" spans="14:14" x14ac:dyDescent="0.25">
      <c r="N1820" s="53"/>
    </row>
    <row r="1821" spans="14:14" x14ac:dyDescent="0.25">
      <c r="N1821" s="53"/>
    </row>
    <row r="1822" spans="14:14" x14ac:dyDescent="0.25">
      <c r="N1822" s="53"/>
    </row>
    <row r="1823" spans="14:14" x14ac:dyDescent="0.25">
      <c r="N1823" s="53"/>
    </row>
    <row r="1824" spans="14:14" x14ac:dyDescent="0.25">
      <c r="N1824" s="53"/>
    </row>
    <row r="1825" spans="14:14" x14ac:dyDescent="0.25">
      <c r="N1825" s="53"/>
    </row>
    <row r="1826" spans="14:14" x14ac:dyDescent="0.25">
      <c r="N1826" s="53"/>
    </row>
    <row r="1827" spans="14:14" x14ac:dyDescent="0.25">
      <c r="N1827" s="53"/>
    </row>
    <row r="1828" spans="14:14" x14ac:dyDescent="0.25">
      <c r="N1828" s="53"/>
    </row>
    <row r="1829" spans="14:14" x14ac:dyDescent="0.25">
      <c r="N1829" s="53"/>
    </row>
    <row r="1830" spans="14:14" x14ac:dyDescent="0.25">
      <c r="N1830" s="53"/>
    </row>
    <row r="1831" spans="14:14" x14ac:dyDescent="0.25">
      <c r="N1831" s="53"/>
    </row>
    <row r="1832" spans="14:14" x14ac:dyDescent="0.25">
      <c r="N1832" s="53"/>
    </row>
    <row r="1833" spans="14:14" x14ac:dyDescent="0.25">
      <c r="N1833" s="53"/>
    </row>
    <row r="1834" spans="14:14" x14ac:dyDescent="0.25">
      <c r="N1834" s="53"/>
    </row>
    <row r="1835" spans="14:14" x14ac:dyDescent="0.25">
      <c r="N1835" s="53"/>
    </row>
    <row r="1836" spans="14:14" x14ac:dyDescent="0.25">
      <c r="N1836" s="53"/>
    </row>
    <row r="1837" spans="14:14" x14ac:dyDescent="0.25">
      <c r="N1837" s="53"/>
    </row>
    <row r="1838" spans="14:14" x14ac:dyDescent="0.25">
      <c r="N1838" s="53"/>
    </row>
    <row r="1839" spans="14:14" x14ac:dyDescent="0.25">
      <c r="N1839" s="53"/>
    </row>
    <row r="1840" spans="14:14" x14ac:dyDescent="0.25">
      <c r="N1840" s="53"/>
    </row>
    <row r="1841" spans="14:14" x14ac:dyDescent="0.25">
      <c r="N1841" s="53"/>
    </row>
    <row r="1842" spans="14:14" x14ac:dyDescent="0.25">
      <c r="N1842" s="53"/>
    </row>
    <row r="1843" spans="14:14" x14ac:dyDescent="0.25">
      <c r="N1843" s="53"/>
    </row>
    <row r="1844" spans="14:14" x14ac:dyDescent="0.25">
      <c r="N1844" s="53"/>
    </row>
    <row r="1845" spans="14:14" x14ac:dyDescent="0.25">
      <c r="N1845" s="53"/>
    </row>
    <row r="1846" spans="14:14" x14ac:dyDescent="0.25">
      <c r="N1846" s="53"/>
    </row>
    <row r="1847" spans="14:14" x14ac:dyDescent="0.25">
      <c r="N1847" s="53"/>
    </row>
    <row r="1848" spans="14:14" x14ac:dyDescent="0.25">
      <c r="N1848" s="53"/>
    </row>
    <row r="1849" spans="14:14" x14ac:dyDescent="0.25">
      <c r="N1849" s="53"/>
    </row>
    <row r="1850" spans="14:14" x14ac:dyDescent="0.25">
      <c r="N1850" s="53"/>
    </row>
    <row r="1851" spans="14:14" x14ac:dyDescent="0.25">
      <c r="N1851" s="53"/>
    </row>
    <row r="1852" spans="14:14" x14ac:dyDescent="0.25">
      <c r="N1852" s="53"/>
    </row>
    <row r="1853" spans="14:14" x14ac:dyDescent="0.25">
      <c r="N1853" s="53"/>
    </row>
    <row r="1854" spans="14:14" x14ac:dyDescent="0.25">
      <c r="N1854" s="53"/>
    </row>
    <row r="1855" spans="14:14" x14ac:dyDescent="0.25">
      <c r="N1855" s="53"/>
    </row>
    <row r="1856" spans="14:14" x14ac:dyDescent="0.25">
      <c r="N1856" s="53"/>
    </row>
    <row r="1857" spans="14:14" x14ac:dyDescent="0.25">
      <c r="N1857" s="53"/>
    </row>
    <row r="1858" spans="14:14" x14ac:dyDescent="0.25">
      <c r="N1858" s="53"/>
    </row>
    <row r="1859" spans="14:14" x14ac:dyDescent="0.25">
      <c r="N1859" s="53"/>
    </row>
    <row r="1860" spans="14:14" x14ac:dyDescent="0.25">
      <c r="N1860" s="53"/>
    </row>
    <row r="1861" spans="14:14" x14ac:dyDescent="0.25">
      <c r="N1861" s="53"/>
    </row>
    <row r="1862" spans="14:14" x14ac:dyDescent="0.25">
      <c r="N1862" s="53"/>
    </row>
    <row r="1863" spans="14:14" x14ac:dyDescent="0.25">
      <c r="N1863" s="53"/>
    </row>
    <row r="1864" spans="14:14" x14ac:dyDescent="0.25">
      <c r="N1864" s="53"/>
    </row>
    <row r="1865" spans="14:14" x14ac:dyDescent="0.25">
      <c r="N1865" s="53"/>
    </row>
    <row r="1866" spans="14:14" x14ac:dyDescent="0.25">
      <c r="N1866" s="53"/>
    </row>
    <row r="1867" spans="14:14" x14ac:dyDescent="0.25">
      <c r="N1867" s="53"/>
    </row>
    <row r="1868" spans="14:14" x14ac:dyDescent="0.25">
      <c r="N1868" s="53"/>
    </row>
    <row r="1869" spans="14:14" x14ac:dyDescent="0.25">
      <c r="N1869" s="53"/>
    </row>
    <row r="1870" spans="14:14" x14ac:dyDescent="0.25">
      <c r="N1870" s="53"/>
    </row>
    <row r="1871" spans="14:14" x14ac:dyDescent="0.25">
      <c r="N1871" s="53"/>
    </row>
    <row r="1872" spans="14:14" x14ac:dyDescent="0.25">
      <c r="N1872" s="53"/>
    </row>
    <row r="1873" spans="14:14" x14ac:dyDescent="0.25">
      <c r="N1873" s="53"/>
    </row>
    <row r="1874" spans="14:14" x14ac:dyDescent="0.25">
      <c r="N1874" s="53"/>
    </row>
    <row r="1875" spans="14:14" x14ac:dyDescent="0.25">
      <c r="N1875" s="53"/>
    </row>
    <row r="1876" spans="14:14" x14ac:dyDescent="0.25">
      <c r="N1876" s="53"/>
    </row>
    <row r="1877" spans="14:14" x14ac:dyDescent="0.25">
      <c r="N1877" s="53"/>
    </row>
    <row r="1878" spans="14:14" x14ac:dyDescent="0.25">
      <c r="N1878" s="53"/>
    </row>
    <row r="1879" spans="14:14" x14ac:dyDescent="0.25">
      <c r="N1879" s="53"/>
    </row>
    <row r="1880" spans="14:14" x14ac:dyDescent="0.25">
      <c r="N1880" s="53"/>
    </row>
    <row r="1881" spans="14:14" x14ac:dyDescent="0.25">
      <c r="N1881" s="53"/>
    </row>
    <row r="1882" spans="14:14" x14ac:dyDescent="0.25">
      <c r="N1882" s="53"/>
    </row>
    <row r="1883" spans="14:14" x14ac:dyDescent="0.25">
      <c r="N1883" s="53"/>
    </row>
    <row r="1884" spans="14:14" x14ac:dyDescent="0.25">
      <c r="N1884" s="53"/>
    </row>
    <row r="1885" spans="14:14" x14ac:dyDescent="0.25">
      <c r="N1885" s="53"/>
    </row>
    <row r="1886" spans="14:14" x14ac:dyDescent="0.25">
      <c r="N1886" s="53"/>
    </row>
    <row r="1887" spans="14:14" x14ac:dyDescent="0.25">
      <c r="N1887" s="53"/>
    </row>
    <row r="1888" spans="14:14" x14ac:dyDescent="0.25">
      <c r="N1888" s="53"/>
    </row>
    <row r="1889" spans="14:14" x14ac:dyDescent="0.25">
      <c r="N1889" s="53"/>
    </row>
    <row r="1890" spans="14:14" x14ac:dyDescent="0.25">
      <c r="N1890" s="53"/>
    </row>
    <row r="1891" spans="14:14" x14ac:dyDescent="0.25">
      <c r="N1891" s="53"/>
    </row>
    <row r="1892" spans="14:14" x14ac:dyDescent="0.25">
      <c r="N1892" s="53"/>
    </row>
    <row r="1893" spans="14:14" x14ac:dyDescent="0.25">
      <c r="N1893" s="53"/>
    </row>
    <row r="1894" spans="14:14" x14ac:dyDescent="0.25">
      <c r="N1894" s="53"/>
    </row>
    <row r="1895" spans="14:14" x14ac:dyDescent="0.25">
      <c r="N1895" s="53"/>
    </row>
    <row r="1896" spans="14:14" x14ac:dyDescent="0.25">
      <c r="N1896" s="53"/>
    </row>
    <row r="1897" spans="14:14" x14ac:dyDescent="0.25">
      <c r="N1897" s="53"/>
    </row>
    <row r="1898" spans="14:14" x14ac:dyDescent="0.25">
      <c r="N1898" s="53"/>
    </row>
    <row r="1899" spans="14:14" x14ac:dyDescent="0.25">
      <c r="N1899" s="53"/>
    </row>
    <row r="1900" spans="14:14" x14ac:dyDescent="0.25">
      <c r="N1900" s="53"/>
    </row>
    <row r="1901" spans="14:14" x14ac:dyDescent="0.25">
      <c r="N1901" s="53"/>
    </row>
    <row r="1902" spans="14:14" x14ac:dyDescent="0.25">
      <c r="N1902" s="53"/>
    </row>
    <row r="1903" spans="14:14" x14ac:dyDescent="0.25">
      <c r="N1903" s="53"/>
    </row>
    <row r="1904" spans="14:14" x14ac:dyDescent="0.25">
      <c r="N1904" s="53"/>
    </row>
    <row r="1905" spans="14:14" x14ac:dyDescent="0.25">
      <c r="N1905" s="53"/>
    </row>
    <row r="1906" spans="14:14" x14ac:dyDescent="0.25">
      <c r="N1906" s="53"/>
    </row>
    <row r="1907" spans="14:14" x14ac:dyDescent="0.25">
      <c r="N1907" s="53"/>
    </row>
    <row r="1908" spans="14:14" x14ac:dyDescent="0.25">
      <c r="N1908" s="53"/>
    </row>
    <row r="1909" spans="14:14" x14ac:dyDescent="0.25">
      <c r="N1909" s="53"/>
    </row>
    <row r="1910" spans="14:14" x14ac:dyDescent="0.25">
      <c r="N1910" s="53"/>
    </row>
    <row r="1911" spans="14:14" x14ac:dyDescent="0.25">
      <c r="N1911" s="53"/>
    </row>
    <row r="1912" spans="14:14" x14ac:dyDescent="0.25">
      <c r="N1912" s="53"/>
    </row>
    <row r="1913" spans="14:14" x14ac:dyDescent="0.25">
      <c r="N1913" s="53"/>
    </row>
    <row r="1914" spans="14:14" x14ac:dyDescent="0.25">
      <c r="N1914" s="53"/>
    </row>
    <row r="1915" spans="14:14" x14ac:dyDescent="0.25">
      <c r="N1915" s="53"/>
    </row>
    <row r="1916" spans="14:14" x14ac:dyDescent="0.25">
      <c r="N1916" s="53"/>
    </row>
    <row r="1917" spans="14:14" x14ac:dyDescent="0.25">
      <c r="N1917" s="53"/>
    </row>
    <row r="1918" spans="14:14" x14ac:dyDescent="0.25">
      <c r="N1918" s="53"/>
    </row>
    <row r="1919" spans="14:14" x14ac:dyDescent="0.25">
      <c r="N1919" s="53"/>
    </row>
    <row r="1920" spans="14:14" x14ac:dyDescent="0.25">
      <c r="N1920" s="53"/>
    </row>
    <row r="1921" spans="14:14" x14ac:dyDescent="0.25">
      <c r="N1921" s="53"/>
    </row>
    <row r="1922" spans="14:14" x14ac:dyDescent="0.25">
      <c r="N1922" s="53"/>
    </row>
    <row r="1923" spans="14:14" x14ac:dyDescent="0.25">
      <c r="N1923" s="53"/>
    </row>
    <row r="1924" spans="14:14" x14ac:dyDescent="0.25">
      <c r="N1924" s="53"/>
    </row>
    <row r="1925" spans="14:14" x14ac:dyDescent="0.25">
      <c r="N1925" s="53"/>
    </row>
    <row r="1926" spans="14:14" x14ac:dyDescent="0.25">
      <c r="N1926" s="53"/>
    </row>
    <row r="1927" spans="14:14" x14ac:dyDescent="0.25">
      <c r="N1927" s="53"/>
    </row>
    <row r="1928" spans="14:14" x14ac:dyDescent="0.25">
      <c r="N1928" s="53"/>
    </row>
    <row r="1929" spans="14:14" x14ac:dyDescent="0.25">
      <c r="N1929" s="53"/>
    </row>
    <row r="1930" spans="14:14" x14ac:dyDescent="0.25">
      <c r="N1930" s="53"/>
    </row>
    <row r="1931" spans="14:14" x14ac:dyDescent="0.25">
      <c r="N1931" s="53"/>
    </row>
    <row r="1932" spans="14:14" x14ac:dyDescent="0.25">
      <c r="N1932" s="53"/>
    </row>
    <row r="1933" spans="14:14" x14ac:dyDescent="0.25">
      <c r="N1933" s="53"/>
    </row>
    <row r="1934" spans="14:14" x14ac:dyDescent="0.25">
      <c r="N1934" s="53"/>
    </row>
    <row r="1935" spans="14:14" x14ac:dyDescent="0.25">
      <c r="N1935" s="53"/>
    </row>
    <row r="1936" spans="14:14" x14ac:dyDescent="0.25">
      <c r="N1936" s="53"/>
    </row>
    <row r="1937" spans="14:14" x14ac:dyDescent="0.25">
      <c r="N1937" s="53"/>
    </row>
    <row r="1938" spans="14:14" x14ac:dyDescent="0.25">
      <c r="N1938" s="53"/>
    </row>
    <row r="1939" spans="14:14" x14ac:dyDescent="0.25">
      <c r="N1939" s="53"/>
    </row>
    <row r="1940" spans="14:14" x14ac:dyDescent="0.25">
      <c r="N1940" s="53"/>
    </row>
    <row r="1941" spans="14:14" x14ac:dyDescent="0.25">
      <c r="N1941" s="53"/>
    </row>
    <row r="1942" spans="14:14" x14ac:dyDescent="0.25">
      <c r="N1942" s="53"/>
    </row>
    <row r="1943" spans="14:14" x14ac:dyDescent="0.25">
      <c r="N1943" s="53"/>
    </row>
    <row r="1944" spans="14:14" x14ac:dyDescent="0.25">
      <c r="N1944" s="53"/>
    </row>
    <row r="1945" spans="14:14" x14ac:dyDescent="0.25">
      <c r="N1945" s="53"/>
    </row>
    <row r="1946" spans="14:14" x14ac:dyDescent="0.25">
      <c r="N1946" s="53"/>
    </row>
    <row r="1947" spans="14:14" x14ac:dyDescent="0.25">
      <c r="N1947" s="53"/>
    </row>
    <row r="1948" spans="14:14" x14ac:dyDescent="0.25">
      <c r="N1948" s="53"/>
    </row>
    <row r="1949" spans="14:14" x14ac:dyDescent="0.25">
      <c r="N1949" s="53"/>
    </row>
    <row r="1950" spans="14:14" x14ac:dyDescent="0.25">
      <c r="N1950" s="53"/>
    </row>
    <row r="1951" spans="14:14" x14ac:dyDescent="0.25">
      <c r="N1951" s="53"/>
    </row>
    <row r="1952" spans="14:14" x14ac:dyDescent="0.25">
      <c r="N1952" s="53"/>
    </row>
    <row r="1953" spans="14:14" x14ac:dyDescent="0.25">
      <c r="N1953" s="53"/>
    </row>
    <row r="1954" spans="14:14" x14ac:dyDescent="0.25">
      <c r="N1954" s="53"/>
    </row>
    <row r="1955" spans="14:14" x14ac:dyDescent="0.25">
      <c r="N1955" s="53"/>
    </row>
    <row r="1956" spans="14:14" x14ac:dyDescent="0.25">
      <c r="N1956" s="53"/>
    </row>
    <row r="1957" spans="14:14" x14ac:dyDescent="0.25">
      <c r="N1957" s="53"/>
    </row>
    <row r="1958" spans="14:14" x14ac:dyDescent="0.25">
      <c r="N1958" s="53"/>
    </row>
    <row r="1959" spans="14:14" x14ac:dyDescent="0.25">
      <c r="N1959" s="53"/>
    </row>
    <row r="1960" spans="14:14" x14ac:dyDescent="0.25">
      <c r="N1960" s="53"/>
    </row>
    <row r="1961" spans="14:14" x14ac:dyDescent="0.25">
      <c r="N1961" s="53"/>
    </row>
    <row r="1962" spans="14:14" x14ac:dyDescent="0.25">
      <c r="N1962" s="53"/>
    </row>
    <row r="1963" spans="14:14" x14ac:dyDescent="0.25">
      <c r="N1963" s="53"/>
    </row>
    <row r="1964" spans="14:14" x14ac:dyDescent="0.25">
      <c r="N1964" s="53"/>
    </row>
    <row r="1965" spans="14:14" x14ac:dyDescent="0.25">
      <c r="N1965" s="53"/>
    </row>
    <row r="1966" spans="14:14" x14ac:dyDescent="0.25">
      <c r="N1966" s="53"/>
    </row>
    <row r="1967" spans="14:14" x14ac:dyDescent="0.25">
      <c r="N1967" s="53"/>
    </row>
    <row r="1968" spans="14:14" x14ac:dyDescent="0.25">
      <c r="N1968" s="53"/>
    </row>
    <row r="1969" spans="14:14" x14ac:dyDescent="0.25">
      <c r="N1969" s="53"/>
    </row>
    <row r="1970" spans="14:14" x14ac:dyDescent="0.25">
      <c r="N1970" s="53"/>
    </row>
    <row r="1971" spans="14:14" x14ac:dyDescent="0.25">
      <c r="N1971" s="53"/>
    </row>
    <row r="1972" spans="14:14" x14ac:dyDescent="0.25">
      <c r="N1972" s="53"/>
    </row>
    <row r="1973" spans="14:14" x14ac:dyDescent="0.25">
      <c r="N1973" s="53"/>
    </row>
    <row r="1974" spans="14:14" x14ac:dyDescent="0.25">
      <c r="N1974" s="53"/>
    </row>
    <row r="1975" spans="14:14" x14ac:dyDescent="0.25">
      <c r="N1975" s="53"/>
    </row>
    <row r="1976" spans="14:14" x14ac:dyDescent="0.25">
      <c r="N1976" s="53"/>
    </row>
    <row r="1977" spans="14:14" x14ac:dyDescent="0.25">
      <c r="N1977" s="53"/>
    </row>
    <row r="1978" spans="14:14" x14ac:dyDescent="0.25">
      <c r="N1978" s="53"/>
    </row>
    <row r="1979" spans="14:14" x14ac:dyDescent="0.25">
      <c r="N1979" s="53"/>
    </row>
    <row r="1980" spans="14:14" x14ac:dyDescent="0.25">
      <c r="N1980" s="53"/>
    </row>
    <row r="1981" spans="14:14" x14ac:dyDescent="0.25">
      <c r="N1981" s="53"/>
    </row>
    <row r="1982" spans="14:14" x14ac:dyDescent="0.25">
      <c r="N1982" s="53"/>
    </row>
    <row r="1983" spans="14:14" x14ac:dyDescent="0.25">
      <c r="N1983" s="53"/>
    </row>
    <row r="1984" spans="14:14" x14ac:dyDescent="0.25">
      <c r="N1984" s="53"/>
    </row>
    <row r="1985" spans="14:14" x14ac:dyDescent="0.25">
      <c r="N1985" s="53"/>
    </row>
    <row r="1986" spans="14:14" x14ac:dyDescent="0.25">
      <c r="N1986" s="53"/>
    </row>
    <row r="1987" spans="14:14" x14ac:dyDescent="0.25">
      <c r="N1987" s="53"/>
    </row>
    <row r="1988" spans="14:14" x14ac:dyDescent="0.25">
      <c r="N1988" s="53"/>
    </row>
    <row r="1989" spans="14:14" x14ac:dyDescent="0.25">
      <c r="N1989" s="53"/>
    </row>
    <row r="1990" spans="14:14" x14ac:dyDescent="0.25">
      <c r="N1990" s="53"/>
    </row>
    <row r="1991" spans="14:14" x14ac:dyDescent="0.25">
      <c r="N1991" s="53"/>
    </row>
    <row r="1992" spans="14:14" x14ac:dyDescent="0.25">
      <c r="N1992" s="53"/>
    </row>
    <row r="1993" spans="14:14" x14ac:dyDescent="0.25">
      <c r="N1993" s="53"/>
    </row>
    <row r="1994" spans="14:14" x14ac:dyDescent="0.25">
      <c r="N1994" s="53"/>
    </row>
    <row r="1995" spans="14:14" x14ac:dyDescent="0.25">
      <c r="N1995" s="53"/>
    </row>
    <row r="1996" spans="14:14" x14ac:dyDescent="0.25">
      <c r="N1996" s="53"/>
    </row>
    <row r="1997" spans="14:14" x14ac:dyDescent="0.25">
      <c r="N1997" s="53"/>
    </row>
    <row r="1998" spans="14:14" x14ac:dyDescent="0.25">
      <c r="N1998" s="53"/>
    </row>
    <row r="1999" spans="14:14" x14ac:dyDescent="0.25">
      <c r="N1999" s="53"/>
    </row>
    <row r="2000" spans="14:14" x14ac:dyDescent="0.25">
      <c r="N2000" s="53"/>
    </row>
    <row r="2001" spans="14:14" x14ac:dyDescent="0.25">
      <c r="N2001" s="53"/>
    </row>
    <row r="2002" spans="14:14" x14ac:dyDescent="0.25">
      <c r="N2002" s="53"/>
    </row>
    <row r="2003" spans="14:14" x14ac:dyDescent="0.25">
      <c r="N2003" s="53"/>
    </row>
    <row r="2004" spans="14:14" x14ac:dyDescent="0.25">
      <c r="N2004" s="53"/>
    </row>
    <row r="2005" spans="14:14" x14ac:dyDescent="0.25">
      <c r="N2005" s="53"/>
    </row>
    <row r="2006" spans="14:14" x14ac:dyDescent="0.25">
      <c r="N2006" s="53"/>
    </row>
    <row r="2007" spans="14:14" x14ac:dyDescent="0.25">
      <c r="N2007" s="53"/>
    </row>
    <row r="2008" spans="14:14" x14ac:dyDescent="0.25">
      <c r="N2008" s="53"/>
    </row>
    <row r="2009" spans="14:14" x14ac:dyDescent="0.25">
      <c r="N2009" s="53"/>
    </row>
    <row r="2010" spans="14:14" x14ac:dyDescent="0.25">
      <c r="N2010" s="53"/>
    </row>
    <row r="2011" spans="14:14" x14ac:dyDescent="0.25">
      <c r="N2011" s="53"/>
    </row>
    <row r="2012" spans="14:14" x14ac:dyDescent="0.25">
      <c r="N2012" s="53"/>
    </row>
    <row r="2013" spans="14:14" x14ac:dyDescent="0.25">
      <c r="N2013" s="53"/>
    </row>
    <row r="2014" spans="14:14" x14ac:dyDescent="0.25">
      <c r="N2014" s="53"/>
    </row>
    <row r="2015" spans="14:14" x14ac:dyDescent="0.25">
      <c r="N2015" s="53"/>
    </row>
    <row r="2016" spans="14:14" x14ac:dyDescent="0.25">
      <c r="N2016" s="53"/>
    </row>
    <row r="2017" spans="14:14" x14ac:dyDescent="0.25">
      <c r="N2017" s="53"/>
    </row>
    <row r="2018" spans="14:14" x14ac:dyDescent="0.25">
      <c r="N2018" s="53"/>
    </row>
    <row r="2019" spans="14:14" x14ac:dyDescent="0.25">
      <c r="N2019" s="53"/>
    </row>
    <row r="2020" spans="14:14" x14ac:dyDescent="0.25">
      <c r="N2020" s="53"/>
    </row>
    <row r="2021" spans="14:14" x14ac:dyDescent="0.25">
      <c r="N2021" s="53"/>
    </row>
    <row r="2022" spans="14:14" x14ac:dyDescent="0.25">
      <c r="N2022" s="53"/>
    </row>
    <row r="2023" spans="14:14" x14ac:dyDescent="0.25">
      <c r="N2023" s="53"/>
    </row>
    <row r="2024" spans="14:14" x14ac:dyDescent="0.25">
      <c r="N2024" s="53"/>
    </row>
    <row r="2025" spans="14:14" x14ac:dyDescent="0.25">
      <c r="N2025" s="53"/>
    </row>
    <row r="2026" spans="14:14" x14ac:dyDescent="0.25">
      <c r="N2026" s="53"/>
    </row>
    <row r="2027" spans="14:14" x14ac:dyDescent="0.25">
      <c r="N2027" s="53"/>
    </row>
    <row r="2028" spans="14:14" x14ac:dyDescent="0.25">
      <c r="N2028" s="53"/>
    </row>
    <row r="2029" spans="14:14" x14ac:dyDescent="0.25">
      <c r="N2029" s="53"/>
    </row>
    <row r="2030" spans="14:14" x14ac:dyDescent="0.25">
      <c r="N2030" s="53"/>
    </row>
    <row r="2031" spans="14:14" x14ac:dyDescent="0.25">
      <c r="N2031" s="53"/>
    </row>
    <row r="2032" spans="14:14" x14ac:dyDescent="0.25">
      <c r="N2032" s="53"/>
    </row>
    <row r="2033" spans="14:14" x14ac:dyDescent="0.25">
      <c r="N2033" s="53"/>
    </row>
    <row r="2034" spans="14:14" x14ac:dyDescent="0.25">
      <c r="N2034" s="53"/>
    </row>
    <row r="2035" spans="14:14" x14ac:dyDescent="0.25">
      <c r="N2035" s="53"/>
    </row>
    <row r="2036" spans="14:14" x14ac:dyDescent="0.25">
      <c r="N2036" s="53"/>
    </row>
    <row r="2037" spans="14:14" x14ac:dyDescent="0.25">
      <c r="N2037" s="53"/>
    </row>
    <row r="2038" spans="14:14" x14ac:dyDescent="0.25">
      <c r="N2038" s="53"/>
    </row>
    <row r="2039" spans="14:14" x14ac:dyDescent="0.25">
      <c r="N2039" s="53"/>
    </row>
    <row r="2040" spans="14:14" x14ac:dyDescent="0.25">
      <c r="N2040" s="53"/>
    </row>
    <row r="2041" spans="14:14" x14ac:dyDescent="0.25">
      <c r="N2041" s="53"/>
    </row>
    <row r="2042" spans="14:14" x14ac:dyDescent="0.25">
      <c r="N2042" s="53"/>
    </row>
    <row r="2043" spans="14:14" x14ac:dyDescent="0.25">
      <c r="N2043" s="53"/>
    </row>
    <row r="2044" spans="14:14" x14ac:dyDescent="0.25">
      <c r="N2044" s="53"/>
    </row>
    <row r="2045" spans="14:14" x14ac:dyDescent="0.25">
      <c r="N2045" s="53"/>
    </row>
    <row r="2046" spans="14:14" x14ac:dyDescent="0.25">
      <c r="N2046" s="53"/>
    </row>
    <row r="2047" spans="14:14" x14ac:dyDescent="0.25">
      <c r="N2047" s="53"/>
    </row>
    <row r="2048" spans="14:14" x14ac:dyDescent="0.25">
      <c r="N2048" s="53"/>
    </row>
    <row r="2049" spans="14:14" x14ac:dyDescent="0.25">
      <c r="N2049" s="53"/>
    </row>
    <row r="2050" spans="14:14" x14ac:dyDescent="0.25">
      <c r="N2050" s="53"/>
    </row>
    <row r="2051" spans="14:14" x14ac:dyDescent="0.25">
      <c r="N2051" s="53"/>
    </row>
    <row r="2052" spans="14:14" x14ac:dyDescent="0.25">
      <c r="N2052" s="53"/>
    </row>
    <row r="2053" spans="14:14" x14ac:dyDescent="0.25">
      <c r="N2053" s="53"/>
    </row>
    <row r="2054" spans="14:14" x14ac:dyDescent="0.25">
      <c r="N2054" s="53"/>
    </row>
    <row r="2055" spans="14:14" x14ac:dyDescent="0.25">
      <c r="N2055" s="53"/>
    </row>
    <row r="2056" spans="14:14" x14ac:dyDescent="0.25">
      <c r="N2056" s="53"/>
    </row>
    <row r="2057" spans="14:14" x14ac:dyDescent="0.25">
      <c r="N2057" s="53"/>
    </row>
    <row r="2058" spans="14:14" x14ac:dyDescent="0.25">
      <c r="N2058" s="53"/>
    </row>
    <row r="2059" spans="14:14" x14ac:dyDescent="0.25">
      <c r="N2059" s="53"/>
    </row>
    <row r="2060" spans="14:14" x14ac:dyDescent="0.25">
      <c r="N2060" s="53"/>
    </row>
    <row r="2061" spans="14:14" x14ac:dyDescent="0.25">
      <c r="N2061" s="53"/>
    </row>
    <row r="2062" spans="14:14" x14ac:dyDescent="0.25">
      <c r="N2062" s="53"/>
    </row>
    <row r="2063" spans="14:14" x14ac:dyDescent="0.25">
      <c r="N2063" s="53"/>
    </row>
    <row r="2064" spans="14:14" x14ac:dyDescent="0.25">
      <c r="N2064" s="53"/>
    </row>
    <row r="2065" spans="14:14" x14ac:dyDescent="0.25">
      <c r="N2065" s="53"/>
    </row>
    <row r="2066" spans="14:14" x14ac:dyDescent="0.25">
      <c r="N2066" s="53"/>
    </row>
    <row r="2067" spans="14:14" x14ac:dyDescent="0.25">
      <c r="N2067" s="53"/>
    </row>
    <row r="2068" spans="14:14" x14ac:dyDescent="0.25">
      <c r="N2068" s="53"/>
    </row>
    <row r="2069" spans="14:14" x14ac:dyDescent="0.25">
      <c r="N2069" s="53"/>
    </row>
    <row r="2070" spans="14:14" x14ac:dyDescent="0.25">
      <c r="N2070" s="53"/>
    </row>
    <row r="2071" spans="14:14" x14ac:dyDescent="0.25">
      <c r="N2071" s="53"/>
    </row>
    <row r="2072" spans="14:14" x14ac:dyDescent="0.25">
      <c r="N2072" s="53"/>
    </row>
    <row r="2073" spans="14:14" x14ac:dyDescent="0.25">
      <c r="N2073" s="53"/>
    </row>
    <row r="2074" spans="14:14" x14ac:dyDescent="0.25">
      <c r="N2074" s="53"/>
    </row>
    <row r="2075" spans="14:14" x14ac:dyDescent="0.25">
      <c r="N2075" s="53"/>
    </row>
    <row r="2076" spans="14:14" x14ac:dyDescent="0.25">
      <c r="N2076" s="53"/>
    </row>
    <row r="2077" spans="14:14" x14ac:dyDescent="0.25">
      <c r="N2077" s="53"/>
    </row>
    <row r="2078" spans="14:14" x14ac:dyDescent="0.25">
      <c r="N2078" s="53"/>
    </row>
    <row r="2079" spans="14:14" x14ac:dyDescent="0.25">
      <c r="N2079" s="53"/>
    </row>
    <row r="2080" spans="14:14" x14ac:dyDescent="0.25">
      <c r="N2080" s="53"/>
    </row>
    <row r="2081" spans="14:14" x14ac:dyDescent="0.25">
      <c r="N2081" s="53"/>
    </row>
    <row r="2082" spans="14:14" x14ac:dyDescent="0.25">
      <c r="N2082" s="53"/>
    </row>
    <row r="2083" spans="14:14" x14ac:dyDescent="0.25">
      <c r="N2083" s="53"/>
    </row>
    <row r="2084" spans="14:14" x14ac:dyDescent="0.25">
      <c r="N2084" s="53"/>
    </row>
    <row r="2085" spans="14:14" x14ac:dyDescent="0.25">
      <c r="N2085" s="53"/>
    </row>
    <row r="2086" spans="14:14" x14ac:dyDescent="0.25">
      <c r="N2086" s="53"/>
    </row>
    <row r="2087" spans="14:14" x14ac:dyDescent="0.25">
      <c r="N2087" s="53"/>
    </row>
    <row r="2088" spans="14:14" x14ac:dyDescent="0.25">
      <c r="N2088" s="53"/>
    </row>
    <row r="2089" spans="14:14" x14ac:dyDescent="0.25">
      <c r="N2089" s="53"/>
    </row>
    <row r="2090" spans="14:14" x14ac:dyDescent="0.25">
      <c r="N2090" s="53"/>
    </row>
    <row r="2091" spans="14:14" x14ac:dyDescent="0.25">
      <c r="N2091" s="53"/>
    </row>
    <row r="2092" spans="14:14" x14ac:dyDescent="0.25">
      <c r="N2092" s="53"/>
    </row>
    <row r="2093" spans="14:14" x14ac:dyDescent="0.25">
      <c r="N2093" s="53"/>
    </row>
    <row r="2094" spans="14:14" x14ac:dyDescent="0.25">
      <c r="N2094" s="53"/>
    </row>
    <row r="2095" spans="14:14" x14ac:dyDescent="0.25">
      <c r="N2095" s="53"/>
    </row>
    <row r="2096" spans="14:14" x14ac:dyDescent="0.25">
      <c r="N2096" s="53"/>
    </row>
    <row r="2097" spans="14:14" x14ac:dyDescent="0.25">
      <c r="N2097" s="53"/>
    </row>
    <row r="2098" spans="14:14" x14ac:dyDescent="0.25">
      <c r="N2098" s="53"/>
    </row>
    <row r="2099" spans="14:14" x14ac:dyDescent="0.25">
      <c r="N2099" s="53"/>
    </row>
    <row r="2100" spans="14:14" x14ac:dyDescent="0.25">
      <c r="N2100" s="53"/>
    </row>
    <row r="2101" spans="14:14" x14ac:dyDescent="0.25">
      <c r="N2101" s="53"/>
    </row>
    <row r="2102" spans="14:14" x14ac:dyDescent="0.25">
      <c r="N2102" s="53"/>
    </row>
    <row r="2103" spans="14:14" x14ac:dyDescent="0.25">
      <c r="N2103" s="53"/>
    </row>
    <row r="2104" spans="14:14" x14ac:dyDescent="0.25">
      <c r="N2104" s="53"/>
    </row>
    <row r="2105" spans="14:14" x14ac:dyDescent="0.25">
      <c r="N2105" s="53"/>
    </row>
    <row r="2106" spans="14:14" x14ac:dyDescent="0.25">
      <c r="N2106" s="53"/>
    </row>
    <row r="2107" spans="14:14" x14ac:dyDescent="0.25">
      <c r="N2107" s="53"/>
    </row>
    <row r="2108" spans="14:14" x14ac:dyDescent="0.25">
      <c r="N2108" s="53"/>
    </row>
    <row r="2109" spans="14:14" x14ac:dyDescent="0.25">
      <c r="N2109" s="53"/>
    </row>
    <row r="2110" spans="14:14" x14ac:dyDescent="0.25">
      <c r="N2110" s="53"/>
    </row>
    <row r="2111" spans="14:14" x14ac:dyDescent="0.25">
      <c r="N2111" s="53"/>
    </row>
    <row r="2112" spans="14:14" x14ac:dyDescent="0.25">
      <c r="N2112" s="53"/>
    </row>
    <row r="2113" spans="14:14" x14ac:dyDescent="0.25">
      <c r="N2113" s="53"/>
    </row>
    <row r="2114" spans="14:14" x14ac:dyDescent="0.25">
      <c r="N2114" s="53"/>
    </row>
    <row r="2115" spans="14:14" x14ac:dyDescent="0.25">
      <c r="N2115" s="53"/>
    </row>
    <row r="2116" spans="14:14" x14ac:dyDescent="0.25">
      <c r="N2116" s="53"/>
    </row>
    <row r="2117" spans="14:14" x14ac:dyDescent="0.25">
      <c r="N2117" s="53"/>
    </row>
    <row r="2118" spans="14:14" x14ac:dyDescent="0.25">
      <c r="N2118" s="53"/>
    </row>
    <row r="2119" spans="14:14" x14ac:dyDescent="0.25">
      <c r="N2119" s="53"/>
    </row>
    <row r="2120" spans="14:14" x14ac:dyDescent="0.25">
      <c r="N2120" s="53"/>
    </row>
    <row r="2121" spans="14:14" x14ac:dyDescent="0.25">
      <c r="N2121" s="53"/>
    </row>
    <row r="2122" spans="14:14" x14ac:dyDescent="0.25">
      <c r="N2122" s="53"/>
    </row>
    <row r="2123" spans="14:14" x14ac:dyDescent="0.25">
      <c r="N2123" s="53"/>
    </row>
    <row r="2124" spans="14:14" x14ac:dyDescent="0.25">
      <c r="N2124" s="53"/>
    </row>
    <row r="2125" spans="14:14" x14ac:dyDescent="0.25">
      <c r="N2125" s="53"/>
    </row>
    <row r="2126" spans="14:14" x14ac:dyDescent="0.25">
      <c r="N2126" s="53"/>
    </row>
    <row r="2127" spans="14:14" x14ac:dyDescent="0.25">
      <c r="N2127" s="53"/>
    </row>
    <row r="2128" spans="14:14" x14ac:dyDescent="0.25">
      <c r="N2128" s="53"/>
    </row>
    <row r="2129" spans="14:14" x14ac:dyDescent="0.25">
      <c r="N2129" s="53"/>
    </row>
    <row r="2130" spans="14:14" x14ac:dyDescent="0.25">
      <c r="N2130" s="53"/>
    </row>
    <row r="2131" spans="14:14" x14ac:dyDescent="0.25">
      <c r="N2131" s="53"/>
    </row>
    <row r="2132" spans="14:14" x14ac:dyDescent="0.25">
      <c r="N2132" s="53"/>
    </row>
    <row r="2133" spans="14:14" x14ac:dyDescent="0.25">
      <c r="N2133" s="53"/>
    </row>
    <row r="2134" spans="14:14" x14ac:dyDescent="0.25">
      <c r="N2134" s="53"/>
    </row>
    <row r="2135" spans="14:14" x14ac:dyDescent="0.25">
      <c r="N2135" s="53"/>
    </row>
    <row r="2136" spans="14:14" x14ac:dyDescent="0.25">
      <c r="N2136" s="53"/>
    </row>
    <row r="2137" spans="14:14" x14ac:dyDescent="0.25">
      <c r="N2137" s="53"/>
    </row>
    <row r="2138" spans="14:14" x14ac:dyDescent="0.25">
      <c r="N2138" s="53"/>
    </row>
    <row r="2139" spans="14:14" x14ac:dyDescent="0.25">
      <c r="N2139" s="53"/>
    </row>
    <row r="2140" spans="14:14" x14ac:dyDescent="0.25">
      <c r="N2140" s="53"/>
    </row>
    <row r="2141" spans="14:14" x14ac:dyDescent="0.25">
      <c r="N2141" s="53"/>
    </row>
    <row r="2142" spans="14:14" x14ac:dyDescent="0.25">
      <c r="N2142" s="53"/>
    </row>
    <row r="2143" spans="14:14" x14ac:dyDescent="0.25">
      <c r="N2143" s="53"/>
    </row>
    <row r="2144" spans="14:14" x14ac:dyDescent="0.25">
      <c r="N2144" s="53"/>
    </row>
    <row r="2145" spans="14:14" x14ac:dyDescent="0.25">
      <c r="N2145" s="53"/>
    </row>
    <row r="2146" spans="14:14" x14ac:dyDescent="0.25">
      <c r="N2146" s="53"/>
    </row>
    <row r="2147" spans="14:14" x14ac:dyDescent="0.25">
      <c r="N2147" s="53"/>
    </row>
    <row r="2148" spans="14:14" x14ac:dyDescent="0.25">
      <c r="N2148" s="53"/>
    </row>
    <row r="2149" spans="14:14" x14ac:dyDescent="0.25">
      <c r="N2149" s="53"/>
    </row>
    <row r="2150" spans="14:14" x14ac:dyDescent="0.25">
      <c r="N2150" s="53"/>
    </row>
    <row r="2151" spans="14:14" x14ac:dyDescent="0.25">
      <c r="N2151" s="53"/>
    </row>
    <row r="2152" spans="14:14" x14ac:dyDescent="0.25">
      <c r="N2152" s="53"/>
    </row>
    <row r="2153" spans="14:14" x14ac:dyDescent="0.25">
      <c r="N2153" s="53"/>
    </row>
    <row r="2154" spans="14:14" x14ac:dyDescent="0.25">
      <c r="N2154" s="53"/>
    </row>
    <row r="2155" spans="14:14" x14ac:dyDescent="0.25">
      <c r="N2155" s="53"/>
    </row>
    <row r="2156" spans="14:14" x14ac:dyDescent="0.25">
      <c r="N2156" s="53"/>
    </row>
    <row r="2157" spans="14:14" x14ac:dyDescent="0.25">
      <c r="N2157" s="53"/>
    </row>
    <row r="2158" spans="14:14" x14ac:dyDescent="0.25">
      <c r="N2158" s="53"/>
    </row>
    <row r="2159" spans="14:14" x14ac:dyDescent="0.25">
      <c r="N2159" s="53"/>
    </row>
    <row r="2160" spans="14:14" x14ac:dyDescent="0.25">
      <c r="N2160" s="53"/>
    </row>
    <row r="2161" spans="14:14" x14ac:dyDescent="0.25">
      <c r="N2161" s="53"/>
    </row>
    <row r="2162" spans="14:14" x14ac:dyDescent="0.25">
      <c r="N2162" s="53"/>
    </row>
    <row r="2163" spans="14:14" x14ac:dyDescent="0.25">
      <c r="N2163" s="53"/>
    </row>
    <row r="2164" spans="14:14" x14ac:dyDescent="0.25">
      <c r="N2164" s="53"/>
    </row>
    <row r="2165" spans="14:14" x14ac:dyDescent="0.25">
      <c r="N2165" s="53"/>
    </row>
    <row r="2166" spans="14:14" x14ac:dyDescent="0.25">
      <c r="N2166" s="53"/>
    </row>
    <row r="2167" spans="14:14" x14ac:dyDescent="0.25">
      <c r="N2167" s="53"/>
    </row>
    <row r="2168" spans="14:14" x14ac:dyDescent="0.25">
      <c r="N2168" s="53"/>
    </row>
    <row r="2169" spans="14:14" x14ac:dyDescent="0.25">
      <c r="N2169" s="53"/>
    </row>
    <row r="2170" spans="14:14" x14ac:dyDescent="0.25">
      <c r="N2170" s="53"/>
    </row>
    <row r="2171" spans="14:14" x14ac:dyDescent="0.25">
      <c r="N2171" s="53"/>
    </row>
    <row r="2172" spans="14:14" x14ac:dyDescent="0.25">
      <c r="N2172" s="53"/>
    </row>
    <row r="2173" spans="14:14" x14ac:dyDescent="0.25">
      <c r="N2173" s="53"/>
    </row>
    <row r="2174" spans="14:14" x14ac:dyDescent="0.25">
      <c r="N2174" s="53"/>
    </row>
    <row r="2175" spans="14:14" x14ac:dyDescent="0.25">
      <c r="N2175" s="53"/>
    </row>
    <row r="2176" spans="14:14" x14ac:dyDescent="0.25">
      <c r="N2176" s="53"/>
    </row>
    <row r="2177" spans="14:14" x14ac:dyDescent="0.25">
      <c r="N2177" s="53"/>
    </row>
    <row r="2178" spans="14:14" x14ac:dyDescent="0.25">
      <c r="N2178" s="53"/>
    </row>
    <row r="2179" spans="14:14" x14ac:dyDescent="0.25">
      <c r="N2179" s="53"/>
    </row>
    <row r="2180" spans="14:14" x14ac:dyDescent="0.25">
      <c r="N2180" s="53"/>
    </row>
    <row r="2181" spans="14:14" x14ac:dyDescent="0.25">
      <c r="N2181" s="53"/>
    </row>
    <row r="2182" spans="14:14" x14ac:dyDescent="0.25">
      <c r="N2182" s="53"/>
    </row>
    <row r="2183" spans="14:14" x14ac:dyDescent="0.25">
      <c r="N2183" s="53"/>
    </row>
    <row r="2184" spans="14:14" x14ac:dyDescent="0.25">
      <c r="N2184" s="53"/>
    </row>
    <row r="2185" spans="14:14" x14ac:dyDescent="0.25">
      <c r="N2185" s="53"/>
    </row>
    <row r="2186" spans="14:14" x14ac:dyDescent="0.25">
      <c r="N2186" s="53"/>
    </row>
    <row r="2187" spans="14:14" x14ac:dyDescent="0.25">
      <c r="N2187" s="53"/>
    </row>
    <row r="2188" spans="14:14" x14ac:dyDescent="0.25">
      <c r="N2188" s="53"/>
    </row>
    <row r="2189" spans="14:14" x14ac:dyDescent="0.25">
      <c r="N2189" s="53"/>
    </row>
    <row r="2190" spans="14:14" x14ac:dyDescent="0.25">
      <c r="N2190" s="53"/>
    </row>
    <row r="2191" spans="14:14" x14ac:dyDescent="0.25">
      <c r="N2191" s="53"/>
    </row>
    <row r="2192" spans="14:14" x14ac:dyDescent="0.25">
      <c r="N2192" s="53"/>
    </row>
    <row r="2193" spans="14:14" x14ac:dyDescent="0.25">
      <c r="N2193" s="53"/>
    </row>
    <row r="2194" spans="14:14" x14ac:dyDescent="0.25">
      <c r="N2194" s="53"/>
    </row>
    <row r="2195" spans="14:14" x14ac:dyDescent="0.25">
      <c r="N2195" s="53"/>
    </row>
    <row r="2196" spans="14:14" x14ac:dyDescent="0.25">
      <c r="N2196" s="53"/>
    </row>
    <row r="2197" spans="14:14" x14ac:dyDescent="0.25">
      <c r="N2197" s="53"/>
    </row>
    <row r="2198" spans="14:14" x14ac:dyDescent="0.25">
      <c r="N2198" s="53"/>
    </row>
    <row r="2199" spans="14:14" x14ac:dyDescent="0.25">
      <c r="N2199" s="53"/>
    </row>
    <row r="2200" spans="14:14" x14ac:dyDescent="0.25">
      <c r="N2200" s="53"/>
    </row>
    <row r="2201" spans="14:14" x14ac:dyDescent="0.25">
      <c r="N2201" s="53"/>
    </row>
    <row r="2202" spans="14:14" x14ac:dyDescent="0.25">
      <c r="N2202" s="53"/>
    </row>
    <row r="2203" spans="14:14" x14ac:dyDescent="0.25">
      <c r="N2203" s="53"/>
    </row>
    <row r="2204" spans="14:14" x14ac:dyDescent="0.25">
      <c r="N2204" s="53"/>
    </row>
    <row r="2205" spans="14:14" x14ac:dyDescent="0.25">
      <c r="N2205" s="53"/>
    </row>
    <row r="2206" spans="14:14" x14ac:dyDescent="0.25">
      <c r="N2206" s="53"/>
    </row>
    <row r="2207" spans="14:14" x14ac:dyDescent="0.25">
      <c r="N2207" s="53"/>
    </row>
    <row r="2208" spans="14:14" x14ac:dyDescent="0.25">
      <c r="N2208" s="53"/>
    </row>
    <row r="2209" spans="14:14" x14ac:dyDescent="0.25">
      <c r="N2209" s="53"/>
    </row>
    <row r="2210" spans="14:14" x14ac:dyDescent="0.25">
      <c r="N2210" s="53"/>
    </row>
    <row r="2211" spans="14:14" x14ac:dyDescent="0.25">
      <c r="N2211" s="53"/>
    </row>
    <row r="2212" spans="14:14" x14ac:dyDescent="0.25">
      <c r="N2212" s="53"/>
    </row>
    <row r="2213" spans="14:14" x14ac:dyDescent="0.25">
      <c r="N2213" s="53"/>
    </row>
    <row r="2214" spans="14:14" x14ac:dyDescent="0.25">
      <c r="N2214" s="53"/>
    </row>
    <row r="2215" spans="14:14" x14ac:dyDescent="0.25">
      <c r="N2215" s="53"/>
    </row>
    <row r="2216" spans="14:14" x14ac:dyDescent="0.25">
      <c r="N2216" s="53"/>
    </row>
    <row r="2217" spans="14:14" x14ac:dyDescent="0.25">
      <c r="N2217" s="53"/>
    </row>
    <row r="2218" spans="14:14" x14ac:dyDescent="0.25">
      <c r="N2218" s="53"/>
    </row>
    <row r="2219" spans="14:14" x14ac:dyDescent="0.25">
      <c r="N2219" s="53"/>
    </row>
    <row r="2220" spans="14:14" x14ac:dyDescent="0.25">
      <c r="N2220" s="53"/>
    </row>
    <row r="2221" spans="14:14" x14ac:dyDescent="0.25">
      <c r="N2221" s="53"/>
    </row>
    <row r="2222" spans="14:14" x14ac:dyDescent="0.25">
      <c r="N2222" s="53"/>
    </row>
    <row r="2223" spans="14:14" x14ac:dyDescent="0.25">
      <c r="N2223" s="53"/>
    </row>
    <row r="2224" spans="14:14" x14ac:dyDescent="0.25">
      <c r="N2224" s="53"/>
    </row>
    <row r="2225" spans="14:14" x14ac:dyDescent="0.25">
      <c r="N2225" s="53"/>
    </row>
    <row r="2226" spans="14:14" x14ac:dyDescent="0.25">
      <c r="N2226" s="53"/>
    </row>
    <row r="2227" spans="14:14" x14ac:dyDescent="0.25">
      <c r="N2227" s="53"/>
    </row>
    <row r="2228" spans="14:14" x14ac:dyDescent="0.25">
      <c r="N2228" s="53"/>
    </row>
    <row r="2229" spans="14:14" x14ac:dyDescent="0.25">
      <c r="N2229" s="53"/>
    </row>
    <row r="2230" spans="14:14" x14ac:dyDescent="0.25">
      <c r="N2230" s="53"/>
    </row>
    <row r="2231" spans="14:14" x14ac:dyDescent="0.25">
      <c r="N2231" s="53"/>
    </row>
    <row r="2232" spans="14:14" x14ac:dyDescent="0.25">
      <c r="N2232" s="53"/>
    </row>
    <row r="2233" spans="14:14" x14ac:dyDescent="0.25">
      <c r="N2233" s="53"/>
    </row>
    <row r="2234" spans="14:14" x14ac:dyDescent="0.25">
      <c r="N2234" s="53"/>
    </row>
    <row r="2235" spans="14:14" x14ac:dyDescent="0.25">
      <c r="N2235" s="53"/>
    </row>
    <row r="2236" spans="14:14" x14ac:dyDescent="0.25">
      <c r="N2236" s="53"/>
    </row>
    <row r="2237" spans="14:14" x14ac:dyDescent="0.25">
      <c r="N2237" s="53"/>
    </row>
    <row r="2238" spans="14:14" x14ac:dyDescent="0.25">
      <c r="N2238" s="53"/>
    </row>
    <row r="2239" spans="14:14" x14ac:dyDescent="0.25">
      <c r="N2239" s="53"/>
    </row>
    <row r="2240" spans="14:14" x14ac:dyDescent="0.25">
      <c r="N2240" s="53"/>
    </row>
    <row r="2241" spans="14:14" x14ac:dyDescent="0.25">
      <c r="N2241" s="53"/>
    </row>
    <row r="2242" spans="14:14" x14ac:dyDescent="0.25">
      <c r="N2242" s="53"/>
    </row>
    <row r="2243" spans="14:14" x14ac:dyDescent="0.25">
      <c r="N2243" s="53"/>
    </row>
    <row r="2244" spans="14:14" x14ac:dyDescent="0.25">
      <c r="N2244" s="53"/>
    </row>
    <row r="2245" spans="14:14" x14ac:dyDescent="0.25">
      <c r="N2245" s="53"/>
    </row>
    <row r="2246" spans="14:14" x14ac:dyDescent="0.25">
      <c r="N2246" s="53"/>
    </row>
    <row r="2247" spans="14:14" x14ac:dyDescent="0.25">
      <c r="N2247" s="53"/>
    </row>
    <row r="2248" spans="14:14" x14ac:dyDescent="0.25">
      <c r="N2248" s="53"/>
    </row>
    <row r="2249" spans="14:14" x14ac:dyDescent="0.25">
      <c r="N2249" s="53"/>
    </row>
    <row r="2250" spans="14:14" x14ac:dyDescent="0.25">
      <c r="N2250" s="53"/>
    </row>
    <row r="2251" spans="14:14" x14ac:dyDescent="0.25">
      <c r="N2251" s="53"/>
    </row>
    <row r="2252" spans="14:14" x14ac:dyDescent="0.25">
      <c r="N2252" s="53"/>
    </row>
    <row r="2253" spans="14:14" x14ac:dyDescent="0.25">
      <c r="N2253" s="53"/>
    </row>
    <row r="2254" spans="14:14" x14ac:dyDescent="0.25">
      <c r="N2254" s="53"/>
    </row>
    <row r="2255" spans="14:14" x14ac:dyDescent="0.25">
      <c r="N2255" s="53"/>
    </row>
    <row r="2256" spans="14:14" x14ac:dyDescent="0.25">
      <c r="N2256" s="53"/>
    </row>
    <row r="2257" spans="14:14" x14ac:dyDescent="0.25">
      <c r="N2257" s="53"/>
    </row>
    <row r="2258" spans="14:14" x14ac:dyDescent="0.25">
      <c r="N2258" s="53"/>
    </row>
    <row r="2259" spans="14:14" x14ac:dyDescent="0.25">
      <c r="N2259" s="53"/>
    </row>
    <row r="2260" spans="14:14" x14ac:dyDescent="0.25">
      <c r="N2260" s="53"/>
    </row>
    <row r="2261" spans="14:14" x14ac:dyDescent="0.25">
      <c r="N2261" s="53"/>
    </row>
    <row r="2262" spans="14:14" x14ac:dyDescent="0.25">
      <c r="N2262" s="53"/>
    </row>
    <row r="2263" spans="14:14" x14ac:dyDescent="0.25">
      <c r="N2263" s="53"/>
    </row>
    <row r="2264" spans="14:14" x14ac:dyDescent="0.25">
      <c r="N2264" s="53"/>
    </row>
    <row r="2265" spans="14:14" x14ac:dyDescent="0.25">
      <c r="N2265" s="53"/>
    </row>
    <row r="2266" spans="14:14" x14ac:dyDescent="0.25">
      <c r="N2266" s="53"/>
    </row>
    <row r="2267" spans="14:14" x14ac:dyDescent="0.25">
      <c r="N2267" s="53"/>
    </row>
    <row r="2268" spans="14:14" x14ac:dyDescent="0.25">
      <c r="N2268" s="53"/>
    </row>
    <row r="2269" spans="14:14" x14ac:dyDescent="0.25">
      <c r="N2269" s="53"/>
    </row>
    <row r="2270" spans="14:14" x14ac:dyDescent="0.25">
      <c r="N2270" s="53"/>
    </row>
    <row r="2271" spans="14:14" x14ac:dyDescent="0.25">
      <c r="N2271" s="53"/>
    </row>
    <row r="2272" spans="14:14" x14ac:dyDescent="0.25">
      <c r="N2272" s="53"/>
    </row>
    <row r="2273" spans="14:14" x14ac:dyDescent="0.25">
      <c r="N2273" s="53"/>
    </row>
    <row r="2274" spans="14:14" x14ac:dyDescent="0.25">
      <c r="N2274" s="53"/>
    </row>
    <row r="2275" spans="14:14" x14ac:dyDescent="0.25">
      <c r="N2275" s="53"/>
    </row>
    <row r="2276" spans="14:14" x14ac:dyDescent="0.25">
      <c r="N2276" s="53"/>
    </row>
    <row r="2277" spans="14:14" x14ac:dyDescent="0.25">
      <c r="N2277" s="53"/>
    </row>
    <row r="2278" spans="14:14" x14ac:dyDescent="0.25">
      <c r="N2278" s="53"/>
    </row>
    <row r="2279" spans="14:14" x14ac:dyDescent="0.25">
      <c r="N2279" s="53"/>
    </row>
    <row r="2280" spans="14:14" x14ac:dyDescent="0.25">
      <c r="N2280" s="53"/>
    </row>
    <row r="2281" spans="14:14" x14ac:dyDescent="0.25">
      <c r="N2281" s="53"/>
    </row>
    <row r="2282" spans="14:14" x14ac:dyDescent="0.25">
      <c r="N2282" s="53"/>
    </row>
    <row r="2283" spans="14:14" x14ac:dyDescent="0.25">
      <c r="N2283" s="53"/>
    </row>
    <row r="2284" spans="14:14" x14ac:dyDescent="0.25">
      <c r="N2284" s="53"/>
    </row>
    <row r="2285" spans="14:14" x14ac:dyDescent="0.25">
      <c r="N2285" s="53"/>
    </row>
    <row r="2286" spans="14:14" x14ac:dyDescent="0.25">
      <c r="N2286" s="53"/>
    </row>
    <row r="2287" spans="14:14" x14ac:dyDescent="0.25">
      <c r="N2287" s="53"/>
    </row>
    <row r="2288" spans="14:14" x14ac:dyDescent="0.25">
      <c r="N2288" s="53"/>
    </row>
    <row r="2289" spans="14:14" x14ac:dyDescent="0.25">
      <c r="N2289" s="53"/>
    </row>
    <row r="2290" spans="14:14" x14ac:dyDescent="0.25">
      <c r="N2290" s="53"/>
    </row>
    <row r="2291" spans="14:14" x14ac:dyDescent="0.25">
      <c r="N2291" s="53"/>
    </row>
    <row r="2292" spans="14:14" x14ac:dyDescent="0.25">
      <c r="N2292" s="53"/>
    </row>
    <row r="2293" spans="14:14" x14ac:dyDescent="0.25">
      <c r="N2293" s="53"/>
    </row>
    <row r="2294" spans="14:14" x14ac:dyDescent="0.25">
      <c r="N2294" s="53"/>
    </row>
    <row r="2295" spans="14:14" x14ac:dyDescent="0.25">
      <c r="N2295" s="53"/>
    </row>
    <row r="2296" spans="14:14" x14ac:dyDescent="0.25">
      <c r="N2296" s="53"/>
    </row>
    <row r="2297" spans="14:14" x14ac:dyDescent="0.25">
      <c r="N2297" s="53"/>
    </row>
    <row r="2298" spans="14:14" x14ac:dyDescent="0.25">
      <c r="N2298" s="53"/>
    </row>
    <row r="2299" spans="14:14" x14ac:dyDescent="0.25">
      <c r="N2299" s="53"/>
    </row>
    <row r="2300" spans="14:14" x14ac:dyDescent="0.25">
      <c r="N2300" s="53"/>
    </row>
    <row r="2301" spans="14:14" x14ac:dyDescent="0.25">
      <c r="N2301" s="53"/>
    </row>
    <row r="2302" spans="14:14" x14ac:dyDescent="0.25">
      <c r="N2302" s="53"/>
    </row>
    <row r="2303" spans="14:14" x14ac:dyDescent="0.25">
      <c r="N2303" s="53"/>
    </row>
    <row r="2304" spans="14:14" x14ac:dyDescent="0.25">
      <c r="N2304" s="53"/>
    </row>
    <row r="2305" spans="14:14" x14ac:dyDescent="0.25">
      <c r="N2305" s="53"/>
    </row>
    <row r="2306" spans="14:14" x14ac:dyDescent="0.25">
      <c r="N2306" s="53"/>
    </row>
    <row r="2307" spans="14:14" x14ac:dyDescent="0.25">
      <c r="N2307" s="53"/>
    </row>
    <row r="2308" spans="14:14" x14ac:dyDescent="0.25">
      <c r="N2308" s="53"/>
    </row>
    <row r="2309" spans="14:14" x14ac:dyDescent="0.25">
      <c r="N2309" s="53"/>
    </row>
    <row r="2310" spans="14:14" x14ac:dyDescent="0.25">
      <c r="N2310" s="53"/>
    </row>
    <row r="2311" spans="14:14" x14ac:dyDescent="0.25">
      <c r="N2311" s="53"/>
    </row>
    <row r="2312" spans="14:14" x14ac:dyDescent="0.25">
      <c r="N2312" s="53"/>
    </row>
    <row r="2313" spans="14:14" x14ac:dyDescent="0.25">
      <c r="N2313" s="53"/>
    </row>
    <row r="2314" spans="14:14" x14ac:dyDescent="0.25">
      <c r="N2314" s="53"/>
    </row>
    <row r="2315" spans="14:14" x14ac:dyDescent="0.25">
      <c r="N2315" s="53"/>
    </row>
    <row r="2316" spans="14:14" x14ac:dyDescent="0.25">
      <c r="N2316" s="53"/>
    </row>
    <row r="2317" spans="14:14" x14ac:dyDescent="0.25">
      <c r="N2317" s="53"/>
    </row>
    <row r="2318" spans="14:14" x14ac:dyDescent="0.25">
      <c r="N2318" s="53"/>
    </row>
    <row r="2319" spans="14:14" x14ac:dyDescent="0.25">
      <c r="N2319" s="53"/>
    </row>
    <row r="2320" spans="14:14" x14ac:dyDescent="0.25">
      <c r="N2320" s="53"/>
    </row>
    <row r="2321" spans="14:14" x14ac:dyDescent="0.25">
      <c r="N2321" s="53"/>
    </row>
    <row r="2322" spans="14:14" x14ac:dyDescent="0.25">
      <c r="N2322" s="53"/>
    </row>
    <row r="2323" spans="14:14" x14ac:dyDescent="0.25">
      <c r="N2323" s="53"/>
    </row>
    <row r="2324" spans="14:14" x14ac:dyDescent="0.25">
      <c r="N2324" s="53"/>
    </row>
    <row r="2325" spans="14:14" x14ac:dyDescent="0.25">
      <c r="N2325" s="53"/>
    </row>
    <row r="2326" spans="14:14" x14ac:dyDescent="0.25">
      <c r="N2326" s="53"/>
    </row>
    <row r="2327" spans="14:14" x14ac:dyDescent="0.25">
      <c r="N2327" s="53"/>
    </row>
    <row r="2328" spans="14:14" x14ac:dyDescent="0.25">
      <c r="N2328" s="53"/>
    </row>
    <row r="2329" spans="14:14" x14ac:dyDescent="0.25">
      <c r="N2329" s="53"/>
    </row>
    <row r="2330" spans="14:14" x14ac:dyDescent="0.25">
      <c r="N2330" s="53"/>
    </row>
    <row r="2331" spans="14:14" x14ac:dyDescent="0.25">
      <c r="N2331" s="53"/>
    </row>
    <row r="2332" spans="14:14" x14ac:dyDescent="0.25">
      <c r="N2332" s="53"/>
    </row>
    <row r="2333" spans="14:14" x14ac:dyDescent="0.25">
      <c r="N2333" s="53"/>
    </row>
    <row r="2334" spans="14:14" x14ac:dyDescent="0.25">
      <c r="N2334" s="53"/>
    </row>
    <row r="2335" spans="14:14" x14ac:dyDescent="0.25">
      <c r="N2335" s="53"/>
    </row>
    <row r="2336" spans="14:14" x14ac:dyDescent="0.25">
      <c r="N2336" s="53"/>
    </row>
    <row r="2337" spans="14:14" x14ac:dyDescent="0.25">
      <c r="N2337" s="53"/>
    </row>
    <row r="2338" spans="14:14" x14ac:dyDescent="0.25">
      <c r="N2338" s="53"/>
    </row>
    <row r="2339" spans="14:14" x14ac:dyDescent="0.25">
      <c r="N2339" s="53"/>
    </row>
    <row r="2340" spans="14:14" x14ac:dyDescent="0.25">
      <c r="N2340" s="53"/>
    </row>
    <row r="2341" spans="14:14" x14ac:dyDescent="0.25">
      <c r="N2341" s="53"/>
    </row>
    <row r="2342" spans="14:14" x14ac:dyDescent="0.25">
      <c r="N2342" s="53"/>
    </row>
    <row r="2343" spans="14:14" x14ac:dyDescent="0.25">
      <c r="N2343" s="53"/>
    </row>
    <row r="2344" spans="14:14" x14ac:dyDescent="0.25">
      <c r="N2344" s="53"/>
    </row>
  </sheetData>
  <sortState xmlns:xlrd2="http://schemas.microsoft.com/office/spreadsheetml/2017/richdata2" ref="AB2:AC227">
    <sortCondition descending="1" ref="AC2:AC227"/>
  </sortState>
  <mergeCells count="1">
    <mergeCell ref="G3:G14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X294"/>
  <sheetViews>
    <sheetView zoomScaleNormal="100" workbookViewId="0">
      <selection activeCell="D14" sqref="D14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5" width="20" style="20" customWidth="1"/>
    <col min="16" max="17" width="14.81640625" style="18" bestFit="1" customWidth="1"/>
    <col min="18" max="18" width="9.1796875" style="20" bestFit="1" customWidth="1"/>
    <col min="19" max="19" width="9.1796875" style="20" customWidth="1"/>
    <col min="20" max="20" width="14.81640625" style="18" bestFit="1" customWidth="1"/>
    <col min="21" max="21" width="9.26953125" style="20" bestFit="1" customWidth="1"/>
    <col min="22" max="16384" width="8.81640625" style="20"/>
  </cols>
  <sheetData>
    <row r="1" spans="1:24" ht="13" x14ac:dyDescent="0.3">
      <c r="A1" s="639" t="s">
        <v>429</v>
      </c>
      <c r="B1" s="639"/>
      <c r="C1" s="639"/>
      <c r="D1" s="639"/>
      <c r="E1" s="639"/>
      <c r="F1" s="639"/>
      <c r="G1" s="639"/>
      <c r="H1" s="639"/>
      <c r="I1" s="639"/>
      <c r="J1" s="639"/>
      <c r="M1" s="49" t="s">
        <v>239</v>
      </c>
    </row>
    <row r="2" spans="1:24" ht="14.5" customHeight="1" x14ac:dyDescent="0.3">
      <c r="A2" s="636" t="s">
        <v>691</v>
      </c>
      <c r="B2" s="640"/>
      <c r="C2" s="640"/>
      <c r="D2" s="640"/>
      <c r="E2" s="640"/>
      <c r="F2" s="640"/>
      <c r="G2" s="640"/>
      <c r="H2" s="640"/>
      <c r="I2" s="640"/>
      <c r="J2" s="640"/>
      <c r="K2" s="637"/>
      <c r="R2" s="18"/>
      <c r="S2" s="18"/>
      <c r="U2" s="18"/>
    </row>
    <row r="3" spans="1:24" ht="13" x14ac:dyDescent="0.3">
      <c r="A3" s="26" t="s">
        <v>428</v>
      </c>
      <c r="B3" s="26">
        <v>2017</v>
      </c>
      <c r="C3" s="26">
        <v>2018</v>
      </c>
      <c r="D3" s="26">
        <v>2019</v>
      </c>
      <c r="E3" s="26">
        <v>2020</v>
      </c>
      <c r="F3" s="26">
        <v>2021</v>
      </c>
      <c r="G3" s="26">
        <v>2022</v>
      </c>
      <c r="H3" s="26">
        <v>2023</v>
      </c>
      <c r="I3" s="26">
        <v>2024</v>
      </c>
      <c r="J3" s="26">
        <v>2025</v>
      </c>
      <c r="K3" s="26" t="s">
        <v>217</v>
      </c>
      <c r="R3" s="18"/>
      <c r="S3" s="18"/>
      <c r="U3" s="18"/>
    </row>
    <row r="4" spans="1:24" x14ac:dyDescent="0.25">
      <c r="A4" s="125" t="s">
        <v>427</v>
      </c>
      <c r="B4" s="125">
        <v>28134.657778230001</v>
      </c>
      <c r="C4" s="125">
        <v>29466.480815660099</v>
      </c>
      <c r="D4" s="125">
        <v>31300.845044950001</v>
      </c>
      <c r="E4" s="125">
        <v>28244.719952970001</v>
      </c>
      <c r="F4" s="125">
        <v>32311.854120029999</v>
      </c>
      <c r="G4" s="125">
        <v>49501.570341929706</v>
      </c>
      <c r="H4" s="125">
        <v>56665.469219798695</v>
      </c>
      <c r="I4" s="125">
        <v>59011.703213160305</v>
      </c>
      <c r="J4" s="125">
        <v>62216.238366260397</v>
      </c>
      <c r="K4" s="125">
        <f>SUM(B4:J4)</f>
        <v>376853.53885298921</v>
      </c>
      <c r="L4" s="123"/>
      <c r="R4" s="18"/>
      <c r="S4" s="18"/>
      <c r="U4" s="18"/>
    </row>
    <row r="5" spans="1:24" x14ac:dyDescent="0.25">
      <c r="A5" s="124" t="s">
        <v>426</v>
      </c>
      <c r="B5" s="124">
        <v>54939.091214838401</v>
      </c>
      <c r="C5" s="124">
        <v>55131.4100999937</v>
      </c>
      <c r="D5" s="124">
        <v>54166.1547071393</v>
      </c>
      <c r="E5" s="124">
        <v>43758.715411040102</v>
      </c>
      <c r="F5" s="124">
        <v>48095.104822022498</v>
      </c>
      <c r="G5" s="124">
        <v>54141.0987200901</v>
      </c>
      <c r="H5" s="124">
        <v>55909.437491521596</v>
      </c>
      <c r="I5" s="124">
        <v>69067.482645302007</v>
      </c>
      <c r="J5" s="124">
        <v>70157.143983643997</v>
      </c>
      <c r="K5" s="124">
        <f>SUM(B5:J5)</f>
        <v>505365.63909559173</v>
      </c>
      <c r="L5" s="123"/>
      <c r="R5" s="18"/>
      <c r="S5" s="18"/>
      <c r="U5" s="18"/>
    </row>
    <row r="6" spans="1:24" x14ac:dyDescent="0.25">
      <c r="A6" s="119" t="s">
        <v>425</v>
      </c>
      <c r="B6" s="119">
        <f t="shared" ref="B6:J6" si="0">B4-B5</f>
        <v>-26804.4334366084</v>
      </c>
      <c r="C6" s="119">
        <f t="shared" si="0"/>
        <v>-25664.929284333601</v>
      </c>
      <c r="D6" s="119">
        <f t="shared" si="0"/>
        <v>-22865.309662189298</v>
      </c>
      <c r="E6" s="119">
        <f t="shared" si="0"/>
        <v>-15513.995458070101</v>
      </c>
      <c r="F6" s="119">
        <f t="shared" si="0"/>
        <v>-15783.2507019925</v>
      </c>
      <c r="G6" s="119">
        <f t="shared" si="0"/>
        <v>-4639.5283781603939</v>
      </c>
      <c r="H6" s="119">
        <f t="shared" si="0"/>
        <v>756.03172827709932</v>
      </c>
      <c r="I6" s="119">
        <f t="shared" si="0"/>
        <v>-10055.779432141702</v>
      </c>
      <c r="J6" s="119">
        <f t="shared" si="0"/>
        <v>-7940.9056173835997</v>
      </c>
      <c r="K6" s="119"/>
      <c r="R6" s="18"/>
      <c r="S6" s="18"/>
      <c r="U6" s="18"/>
    </row>
    <row r="7" spans="1:24" x14ac:dyDescent="0.25">
      <c r="A7" s="18"/>
      <c r="B7" s="18"/>
      <c r="C7" s="18"/>
      <c r="D7" s="18"/>
      <c r="E7" s="18"/>
      <c r="F7" s="18"/>
      <c r="G7" s="18"/>
      <c r="H7" s="18"/>
      <c r="R7" s="18"/>
      <c r="S7" s="18"/>
      <c r="U7" s="18"/>
      <c r="V7" s="18"/>
      <c r="W7" s="18"/>
      <c r="X7" s="18"/>
    </row>
    <row r="8" spans="1:24" x14ac:dyDescent="0.25">
      <c r="R8" s="18"/>
      <c r="S8" s="18"/>
      <c r="U8" s="18"/>
      <c r="V8" s="18"/>
      <c r="W8" s="18"/>
      <c r="X8" s="18"/>
    </row>
    <row r="9" spans="1:24" ht="14.5" customHeight="1" x14ac:dyDescent="0.25">
      <c r="A9" s="594" t="s">
        <v>706</v>
      </c>
      <c r="B9" s="645"/>
      <c r="C9" s="645"/>
      <c r="D9" s="645"/>
      <c r="E9" s="645"/>
      <c r="F9" s="646"/>
      <c r="R9" s="18"/>
      <c r="S9" s="18"/>
      <c r="U9" s="18"/>
    </row>
    <row r="10" spans="1:24" ht="13" x14ac:dyDescent="0.3">
      <c r="A10" s="26" t="s">
        <v>244</v>
      </c>
      <c r="B10" s="26" t="s">
        <v>290</v>
      </c>
      <c r="C10" s="26" t="s">
        <v>234</v>
      </c>
      <c r="D10" s="26" t="s">
        <v>424</v>
      </c>
      <c r="E10" s="26" t="s">
        <v>289</v>
      </c>
      <c r="F10" s="26" t="s">
        <v>234</v>
      </c>
      <c r="R10" s="18"/>
      <c r="S10" s="18"/>
      <c r="U10" s="18"/>
    </row>
    <row r="11" spans="1:24" x14ac:dyDescent="0.25">
      <c r="A11" s="56" t="s">
        <v>235</v>
      </c>
      <c r="B11" s="45">
        <v>2582.4099248699999</v>
      </c>
      <c r="C11" s="442">
        <f>(B11/$B$44)*100</f>
        <v>51.48408952003458</v>
      </c>
      <c r="D11" s="56" t="s">
        <v>235</v>
      </c>
      <c r="E11" s="45">
        <v>3509.7632255799999</v>
      </c>
      <c r="F11" s="442">
        <f>(E11/$E$44)*100</f>
        <v>73.364324630281274</v>
      </c>
      <c r="J11" s="18"/>
      <c r="R11" s="18"/>
      <c r="S11" s="18"/>
      <c r="U11" s="18"/>
    </row>
    <row r="12" spans="1:24" x14ac:dyDescent="0.25">
      <c r="A12" s="21" t="s">
        <v>247</v>
      </c>
      <c r="B12" s="46">
        <v>1080.45912632</v>
      </c>
      <c r="C12" s="148">
        <f t="shared" ref="C12:C36" si="1">(B12/$B$44)*100</f>
        <v>21.54052067663018</v>
      </c>
      <c r="D12" s="21" t="s">
        <v>247</v>
      </c>
      <c r="E12" s="46">
        <v>841.9250443200001</v>
      </c>
      <c r="F12" s="149">
        <f t="shared" ref="F12:F43" si="2">(E12/$E$44)*100</f>
        <v>17.598697774163725</v>
      </c>
      <c r="J12" s="18"/>
      <c r="R12" s="18"/>
      <c r="S12" s="18"/>
      <c r="U12" s="18"/>
    </row>
    <row r="13" spans="1:24" x14ac:dyDescent="0.25">
      <c r="A13" s="21" t="s">
        <v>245</v>
      </c>
      <c r="B13" s="46">
        <v>775.57119574000001</v>
      </c>
      <c r="C13" s="148">
        <f t="shared" si="1"/>
        <v>15.462137318361066</v>
      </c>
      <c r="D13" s="21" t="s">
        <v>249</v>
      </c>
      <c r="E13" s="46">
        <v>216.91952978</v>
      </c>
      <c r="F13" s="149">
        <f t="shared" si="2"/>
        <v>4.5342531044378411</v>
      </c>
      <c r="J13" s="18"/>
      <c r="R13" s="18"/>
      <c r="S13" s="18"/>
      <c r="U13" s="18"/>
    </row>
    <row r="14" spans="1:24" x14ac:dyDescent="0.25">
      <c r="A14" s="21" t="s">
        <v>249</v>
      </c>
      <c r="B14" s="46">
        <v>317.32390034000099</v>
      </c>
      <c r="C14" s="148">
        <f t="shared" si="1"/>
        <v>6.3263124628726644</v>
      </c>
      <c r="D14" s="21" t="s">
        <v>709</v>
      </c>
      <c r="E14" s="46">
        <v>50.341594700000002</v>
      </c>
      <c r="F14" s="149">
        <f t="shared" si="2"/>
        <v>1.0522866810670743</v>
      </c>
      <c r="J14" s="18"/>
      <c r="K14" s="18"/>
      <c r="L14" s="18"/>
      <c r="M14" s="18"/>
      <c r="R14" s="18"/>
      <c r="S14" s="18"/>
      <c r="U14" s="18"/>
    </row>
    <row r="15" spans="1:24" x14ac:dyDescent="0.25">
      <c r="A15" s="21" t="s">
        <v>254</v>
      </c>
      <c r="B15" s="46">
        <v>70.514455439999992</v>
      </c>
      <c r="C15" s="148">
        <f t="shared" si="1"/>
        <v>1.4058080018075381</v>
      </c>
      <c r="D15" s="21" t="s">
        <v>286</v>
      </c>
      <c r="E15" s="46">
        <v>41.779076020000005</v>
      </c>
      <c r="F15" s="149">
        <f t="shared" si="2"/>
        <v>0.87330497782452632</v>
      </c>
      <c r="J15" s="18"/>
      <c r="K15" s="18"/>
      <c r="L15" s="18"/>
      <c r="M15" s="18"/>
      <c r="R15" s="18"/>
      <c r="S15" s="18"/>
      <c r="U15" s="18"/>
    </row>
    <row r="16" spans="1:24" x14ac:dyDescent="0.25">
      <c r="A16" s="21" t="s">
        <v>253</v>
      </c>
      <c r="B16" s="46">
        <v>54.780342189999999</v>
      </c>
      <c r="C16" s="148">
        <f t="shared" si="1"/>
        <v>1.0921256203699201</v>
      </c>
      <c r="D16" s="21" t="s">
        <v>276</v>
      </c>
      <c r="E16" s="46">
        <v>36.253776639999998</v>
      </c>
      <c r="F16" s="149">
        <f t="shared" si="2"/>
        <v>0.75781004801289353</v>
      </c>
      <c r="J16" s="18"/>
      <c r="R16" s="18"/>
      <c r="S16" s="18"/>
      <c r="U16" s="18"/>
    </row>
    <row r="17" spans="1:21" x14ac:dyDescent="0.25">
      <c r="A17" s="21" t="s">
        <v>258</v>
      </c>
      <c r="B17" s="46">
        <v>53.390624869999996</v>
      </c>
      <c r="C17" s="148">
        <f t="shared" si="1"/>
        <v>1.0644195887978702</v>
      </c>
      <c r="D17" s="21" t="s">
        <v>245</v>
      </c>
      <c r="E17" s="46">
        <v>27.77290202</v>
      </c>
      <c r="F17" s="149">
        <f t="shared" si="2"/>
        <v>0.58053494459973554</v>
      </c>
      <c r="J17" s="18"/>
      <c r="R17" s="18"/>
      <c r="S17" s="18"/>
      <c r="U17" s="18"/>
    </row>
    <row r="18" spans="1:21" x14ac:dyDescent="0.25">
      <c r="A18" s="21" t="s">
        <v>236</v>
      </c>
      <c r="B18" s="46">
        <v>27.847888300000001</v>
      </c>
      <c r="C18" s="148">
        <f t="shared" si="1"/>
        <v>0.55518806691904199</v>
      </c>
      <c r="D18" s="21" t="s">
        <v>253</v>
      </c>
      <c r="E18" s="46">
        <v>25.568096409999999</v>
      </c>
      <c r="F18" s="149">
        <f t="shared" si="2"/>
        <v>0.53444805379758609</v>
      </c>
      <c r="J18" s="18"/>
      <c r="R18" s="18"/>
      <c r="S18" s="18"/>
      <c r="U18" s="18"/>
    </row>
    <row r="19" spans="1:21" x14ac:dyDescent="0.25">
      <c r="A19" s="21" t="s">
        <v>674</v>
      </c>
      <c r="B19" s="46">
        <v>12.538226009999999</v>
      </c>
      <c r="C19" s="148">
        <f t="shared" si="1"/>
        <v>0.24996773134449668</v>
      </c>
      <c r="D19" s="21" t="s">
        <v>254</v>
      </c>
      <c r="E19" s="46">
        <v>15.48368082</v>
      </c>
      <c r="F19" s="149">
        <f t="shared" si="2"/>
        <v>0.3236542504836406</v>
      </c>
      <c r="J19" s="18"/>
      <c r="R19" s="18"/>
      <c r="S19" s="18"/>
      <c r="U19" s="18"/>
    </row>
    <row r="20" spans="1:21" x14ac:dyDescent="0.25">
      <c r="A20" s="21" t="s">
        <v>269</v>
      </c>
      <c r="B20" s="46">
        <v>11.63191059</v>
      </c>
      <c r="C20" s="148">
        <f t="shared" si="1"/>
        <v>0.23189901817572403</v>
      </c>
      <c r="D20" s="21" t="s">
        <v>273</v>
      </c>
      <c r="E20" s="46">
        <v>3.7447196699999998</v>
      </c>
      <c r="F20" s="149">
        <f t="shared" si="2"/>
        <v>7.8275602045457041E-2</v>
      </c>
      <c r="J20" s="18"/>
      <c r="R20" s="18"/>
      <c r="S20" s="18"/>
      <c r="U20" s="18"/>
    </row>
    <row r="21" spans="1:21" x14ac:dyDescent="0.25">
      <c r="A21" s="21" t="s">
        <v>295</v>
      </c>
      <c r="B21" s="46">
        <v>8.6732235000000006</v>
      </c>
      <c r="C21" s="148">
        <f t="shared" si="1"/>
        <v>0.1729132973045503</v>
      </c>
      <c r="D21" s="21" t="s">
        <v>277</v>
      </c>
      <c r="E21" s="46">
        <v>3.6712502200000001</v>
      </c>
      <c r="F21" s="149">
        <f t="shared" si="2"/>
        <v>7.6739875492473547E-2</v>
      </c>
      <c r="J21" s="18"/>
      <c r="R21" s="18"/>
      <c r="S21" s="18"/>
      <c r="U21" s="18"/>
    </row>
    <row r="22" spans="1:21" x14ac:dyDescent="0.25">
      <c r="A22" s="21" t="s">
        <v>272</v>
      </c>
      <c r="B22" s="46">
        <v>7.25572543</v>
      </c>
      <c r="C22" s="148">
        <f t="shared" si="1"/>
        <v>0.14465341616502514</v>
      </c>
      <c r="D22" s="21" t="s">
        <v>238</v>
      </c>
      <c r="E22" s="46">
        <v>2.9172197400000002</v>
      </c>
      <c r="F22" s="149">
        <f t="shared" si="2"/>
        <v>6.0978431383460992E-2</v>
      </c>
      <c r="J22" s="18"/>
      <c r="R22" s="18"/>
      <c r="S22" s="18"/>
      <c r="U22" s="18"/>
    </row>
    <row r="23" spans="1:21" x14ac:dyDescent="0.25">
      <c r="A23" s="21" t="s">
        <v>315</v>
      </c>
      <c r="B23" s="46">
        <v>5.9956878899999992</v>
      </c>
      <c r="C23" s="148">
        <f t="shared" si="1"/>
        <v>0.11953273920231176</v>
      </c>
      <c r="D23" s="21" t="s">
        <v>281</v>
      </c>
      <c r="E23" s="46">
        <v>2.4204336800000004</v>
      </c>
      <c r="F23" s="149">
        <f t="shared" si="2"/>
        <v>5.0594148617031494E-2</v>
      </c>
      <c r="J23" s="18"/>
      <c r="R23" s="18"/>
      <c r="S23" s="18"/>
      <c r="U23" s="18"/>
    </row>
    <row r="24" spans="1:21" x14ac:dyDescent="0.25">
      <c r="A24" s="21" t="s">
        <v>273</v>
      </c>
      <c r="B24" s="46">
        <v>1.77636273</v>
      </c>
      <c r="C24" s="148">
        <f t="shared" si="1"/>
        <v>3.5414368931368199E-2</v>
      </c>
      <c r="D24" s="21" t="s">
        <v>271</v>
      </c>
      <c r="E24" s="46">
        <v>1.33748475</v>
      </c>
      <c r="F24" s="149">
        <f t="shared" si="2"/>
        <v>2.7957346145717658E-2</v>
      </c>
      <c r="J24" s="18"/>
      <c r="R24" s="18"/>
      <c r="S24" s="18"/>
      <c r="U24" s="18"/>
    </row>
    <row r="25" spans="1:21" x14ac:dyDescent="0.25">
      <c r="A25" s="21" t="s">
        <v>265</v>
      </c>
      <c r="B25" s="46">
        <v>1.5338419999999999</v>
      </c>
      <c r="C25" s="148">
        <f t="shared" si="1"/>
        <v>3.0579366225741329E-2</v>
      </c>
      <c r="D25" s="21" t="s">
        <v>258</v>
      </c>
      <c r="E25" s="46">
        <v>0.95889985999999994</v>
      </c>
      <c r="F25" s="149">
        <f t="shared" si="2"/>
        <v>2.0043813811783801E-2</v>
      </c>
      <c r="J25" s="18"/>
      <c r="R25" s="18"/>
      <c r="S25" s="18"/>
      <c r="U25" s="18"/>
    </row>
    <row r="26" spans="1:21" x14ac:dyDescent="0.25">
      <c r="A26" s="21" t="s">
        <v>709</v>
      </c>
      <c r="B26" s="46">
        <v>1.5077424399999999</v>
      </c>
      <c r="C26" s="148">
        <f t="shared" si="1"/>
        <v>3.0059033620707231E-2</v>
      </c>
      <c r="D26" s="21" t="s">
        <v>265</v>
      </c>
      <c r="E26" s="46">
        <v>0.83025406000000002</v>
      </c>
      <c r="F26" s="149">
        <f t="shared" si="2"/>
        <v>1.7354740040443406E-2</v>
      </c>
      <c r="J26" s="18"/>
      <c r="R26" s="18"/>
      <c r="S26" s="18"/>
      <c r="U26" s="18"/>
    </row>
    <row r="27" spans="1:21" x14ac:dyDescent="0.25">
      <c r="A27" s="21" t="s">
        <v>311</v>
      </c>
      <c r="B27" s="46">
        <v>1.1981523500000002</v>
      </c>
      <c r="C27" s="148">
        <f t="shared" si="1"/>
        <v>2.3886905890491073E-2</v>
      </c>
      <c r="D27" s="21" t="s">
        <v>236</v>
      </c>
      <c r="E27" s="46">
        <v>0.70450970999999996</v>
      </c>
      <c r="F27" s="149">
        <f t="shared" si="2"/>
        <v>1.4726315066761819E-2</v>
      </c>
      <c r="J27" s="18"/>
      <c r="R27" s="18"/>
      <c r="S27" s="18"/>
      <c r="U27" s="18"/>
    </row>
    <row r="28" spans="1:21" x14ac:dyDescent="0.25">
      <c r="A28" s="21" t="s">
        <v>276</v>
      </c>
      <c r="B28" s="46">
        <v>0.87888893000000001</v>
      </c>
      <c r="C28" s="148">
        <f t="shared" si="1"/>
        <v>1.7521926288509466E-2</v>
      </c>
      <c r="D28" s="21" t="s">
        <v>288</v>
      </c>
      <c r="E28" s="46">
        <v>0.43088727000000004</v>
      </c>
      <c r="F28" s="149">
        <f t="shared" si="2"/>
        <v>9.0068051670669936E-3</v>
      </c>
      <c r="J28" s="18"/>
      <c r="R28" s="18"/>
      <c r="S28" s="18"/>
      <c r="U28" s="18"/>
    </row>
    <row r="29" spans="1:21" x14ac:dyDescent="0.25">
      <c r="A29" s="21" t="s">
        <v>335</v>
      </c>
      <c r="B29" s="46">
        <v>0.29593815999999995</v>
      </c>
      <c r="C29" s="148">
        <f t="shared" si="1"/>
        <v>5.8999566935916689E-3</v>
      </c>
      <c r="D29" s="21" t="s">
        <v>280</v>
      </c>
      <c r="E29" s="46">
        <v>0.34487815000000005</v>
      </c>
      <c r="F29" s="149">
        <f t="shared" si="2"/>
        <v>7.2089628069738655E-3</v>
      </c>
      <c r="J29" s="18"/>
      <c r="R29" s="18"/>
      <c r="S29" s="18"/>
      <c r="U29" s="18"/>
    </row>
    <row r="30" spans="1:21" x14ac:dyDescent="0.25">
      <c r="A30" s="21" t="s">
        <v>274</v>
      </c>
      <c r="B30" s="46">
        <v>0.1706</v>
      </c>
      <c r="C30" s="148">
        <f t="shared" si="1"/>
        <v>3.4011585796395395E-3</v>
      </c>
      <c r="D30" s="21" t="s">
        <v>327</v>
      </c>
      <c r="E30" s="46">
        <v>0.33352221999999998</v>
      </c>
      <c r="F30" s="149">
        <f t="shared" si="2"/>
        <v>6.9715906307179915E-3</v>
      </c>
      <c r="J30" s="18"/>
      <c r="R30" s="18"/>
      <c r="S30" s="18"/>
      <c r="U30" s="18"/>
    </row>
    <row r="31" spans="1:21" x14ac:dyDescent="0.25">
      <c r="A31" s="21" t="s">
        <v>237</v>
      </c>
      <c r="B31" s="46">
        <v>0.12318852000000001</v>
      </c>
      <c r="C31" s="148">
        <f t="shared" si="1"/>
        <v>2.4559419209325738E-3</v>
      </c>
      <c r="D31" s="21" t="s">
        <v>272</v>
      </c>
      <c r="E31" s="46">
        <v>0.11486779</v>
      </c>
      <c r="F31" s="149">
        <f t="shared" si="2"/>
        <v>2.4010730335606483E-3</v>
      </c>
      <c r="J31" s="18"/>
      <c r="R31" s="18"/>
      <c r="S31" s="18"/>
      <c r="U31" s="18"/>
    </row>
    <row r="32" spans="1:21" x14ac:dyDescent="0.25">
      <c r="A32" s="21" t="s">
        <v>283</v>
      </c>
      <c r="B32" s="46">
        <v>5.2965910000000005E-2</v>
      </c>
      <c r="C32" s="148">
        <f t="shared" si="1"/>
        <v>1.0559522815059537E-3</v>
      </c>
      <c r="D32" s="21" t="s">
        <v>628</v>
      </c>
      <c r="E32" s="46">
        <v>8.5813520000000004E-2</v>
      </c>
      <c r="F32" s="149">
        <f t="shared" si="2"/>
        <v>1.7937537475641986E-3</v>
      </c>
      <c r="J32" s="18"/>
      <c r="R32" s="18"/>
      <c r="S32" s="18"/>
      <c r="U32" s="18"/>
    </row>
    <row r="33" spans="1:21" x14ac:dyDescent="0.25">
      <c r="A33" s="21" t="s">
        <v>275</v>
      </c>
      <c r="B33" s="46">
        <v>4.6499999999999996E-3</v>
      </c>
      <c r="C33" s="148">
        <f t="shared" si="1"/>
        <v>9.2704498214090614E-5</v>
      </c>
      <c r="D33" s="21" t="s">
        <v>282</v>
      </c>
      <c r="E33" s="46">
        <v>8.1512330000000008E-2</v>
      </c>
      <c r="F33" s="149">
        <f t="shared" si="2"/>
        <v>1.7038462868110955E-3</v>
      </c>
      <c r="J33" s="18"/>
      <c r="R33" s="18"/>
      <c r="S33" s="18"/>
      <c r="U33" s="18"/>
    </row>
    <row r="34" spans="1:21" x14ac:dyDescent="0.25">
      <c r="A34" s="21" t="s">
        <v>327</v>
      </c>
      <c r="B34" s="46">
        <v>2.5477899999999999E-3</v>
      </c>
      <c r="C34" s="148">
        <f t="shared" si="1"/>
        <v>5.0793891076317835E-5</v>
      </c>
      <c r="D34" s="21" t="s">
        <v>287</v>
      </c>
      <c r="E34" s="46">
        <v>7.5458280000000003E-2</v>
      </c>
      <c r="F34" s="149">
        <f t="shared" si="2"/>
        <v>1.5772989213675027E-3</v>
      </c>
      <c r="J34" s="18"/>
      <c r="R34" s="18"/>
      <c r="S34" s="18"/>
      <c r="U34" s="18"/>
    </row>
    <row r="35" spans="1:21" x14ac:dyDescent="0.25">
      <c r="A35" s="21" t="s">
        <v>268</v>
      </c>
      <c r="B35" s="46">
        <v>3.3395999999999995E-4</v>
      </c>
      <c r="C35" s="148">
        <f t="shared" si="1"/>
        <v>6.6579772523823012E-6</v>
      </c>
      <c r="D35" s="21" t="s">
        <v>633</v>
      </c>
      <c r="E35" s="46">
        <v>2.8051E-2</v>
      </c>
      <c r="F35" s="149">
        <f t="shared" si="2"/>
        <v>5.8634800638551277E-4</v>
      </c>
      <c r="J35" s="18"/>
      <c r="R35" s="18"/>
      <c r="S35" s="18"/>
      <c r="U35" s="18"/>
    </row>
    <row r="36" spans="1:21" x14ac:dyDescent="0.25">
      <c r="A36" s="21" t="s">
        <v>280</v>
      </c>
      <c r="B36" s="46">
        <v>2.5999999999999998E-4</v>
      </c>
      <c r="C36" s="148">
        <f t="shared" si="1"/>
        <v>5.1834773194975395E-6</v>
      </c>
      <c r="D36" s="21" t="s">
        <v>279</v>
      </c>
      <c r="E36" s="46">
        <v>2.7873439999999999E-2</v>
      </c>
      <c r="F36" s="149">
        <f t="shared" si="2"/>
        <v>5.8263648266037606E-4</v>
      </c>
      <c r="J36" s="18"/>
      <c r="R36" s="18"/>
      <c r="S36" s="18"/>
      <c r="U36" s="18"/>
    </row>
    <row r="37" spans="1:21" x14ac:dyDescent="0.25">
      <c r="A37" s="21" t="s">
        <v>282</v>
      </c>
      <c r="B37" s="46">
        <v>1E-4</v>
      </c>
      <c r="C37" s="148"/>
      <c r="D37" s="21" t="s">
        <v>630</v>
      </c>
      <c r="E37" s="46">
        <v>2.710595E-2</v>
      </c>
      <c r="F37" s="149">
        <f t="shared" si="2"/>
        <v>5.6659369518681653E-4</v>
      </c>
      <c r="J37" s="18"/>
      <c r="R37" s="18"/>
      <c r="S37" s="18"/>
      <c r="U37" s="18"/>
    </row>
    <row r="38" spans="1:21" x14ac:dyDescent="0.25">
      <c r="A38" s="21" t="s">
        <v>271</v>
      </c>
      <c r="B38" s="46">
        <v>3.0000000000000001E-5</v>
      </c>
      <c r="C38" s="148"/>
      <c r="D38" s="21" t="s">
        <v>269</v>
      </c>
      <c r="E38" s="46">
        <v>2.50487E-2</v>
      </c>
      <c r="F38" s="149">
        <f t="shared" si="2"/>
        <v>5.2359114853476869E-4</v>
      </c>
      <c r="J38" s="18"/>
      <c r="R38" s="18"/>
      <c r="S38" s="18"/>
      <c r="U38" s="18"/>
    </row>
    <row r="39" spans="1:21" x14ac:dyDescent="0.25">
      <c r="A39" s="21"/>
      <c r="B39" s="46"/>
      <c r="C39" s="148"/>
      <c r="D39" s="21" t="s">
        <v>315</v>
      </c>
      <c r="E39" s="46">
        <v>2.4851979999999999E-2</v>
      </c>
      <c r="F39" s="149">
        <f t="shared" si="2"/>
        <v>5.1947912472755477E-4</v>
      </c>
      <c r="H39" s="38"/>
      <c r="I39" s="38"/>
      <c r="J39" s="18"/>
      <c r="R39" s="18"/>
      <c r="S39" s="18"/>
      <c r="U39" s="18"/>
    </row>
    <row r="40" spans="1:21" x14ac:dyDescent="0.25">
      <c r="A40" s="21"/>
      <c r="B40" s="46"/>
      <c r="C40" s="141"/>
      <c r="D40" s="21" t="s">
        <v>278</v>
      </c>
      <c r="E40" s="46">
        <v>1.375147E-2</v>
      </c>
      <c r="F40" s="149">
        <f t="shared" si="2"/>
        <v>2.874459740961174E-4</v>
      </c>
      <c r="J40" s="18"/>
      <c r="R40" s="18"/>
      <c r="S40" s="18"/>
      <c r="U40" s="18"/>
    </row>
    <row r="41" spans="1:21" x14ac:dyDescent="0.25">
      <c r="A41" s="141"/>
      <c r="B41" s="141"/>
      <c r="C41" s="141"/>
      <c r="D41" s="21" t="s">
        <v>332</v>
      </c>
      <c r="E41" s="46">
        <v>5.855E-3</v>
      </c>
      <c r="F41" s="149">
        <f t="shared" si="2"/>
        <v>1.2238663781637653E-4</v>
      </c>
      <c r="J41" s="18"/>
      <c r="R41" s="18"/>
      <c r="S41" s="18"/>
      <c r="U41" s="18"/>
    </row>
    <row r="42" spans="1:21" x14ac:dyDescent="0.25">
      <c r="A42" s="141"/>
      <c r="B42" s="141"/>
      <c r="C42" s="141"/>
      <c r="D42" s="21" t="s">
        <v>333</v>
      </c>
      <c r="E42" s="46">
        <v>4.3635699999999998E-3</v>
      </c>
      <c r="F42" s="149">
        <f t="shared" si="2"/>
        <v>9.1211385341828533E-5</v>
      </c>
      <c r="J42" s="18"/>
      <c r="R42" s="18"/>
      <c r="S42" s="18"/>
      <c r="U42" s="18"/>
    </row>
    <row r="43" spans="1:21" x14ac:dyDescent="0.25">
      <c r="A43" s="348"/>
      <c r="B43" s="348"/>
      <c r="C43" s="348"/>
      <c r="D43" s="52" t="s">
        <v>634</v>
      </c>
      <c r="E43" s="47">
        <v>3.4559600000000001E-3</v>
      </c>
      <c r="F43" s="443">
        <f t="shared" si="2"/>
        <v>7.223967973149182E-5</v>
      </c>
      <c r="J43" s="18"/>
      <c r="R43" s="18"/>
      <c r="S43" s="18"/>
      <c r="U43" s="18"/>
    </row>
    <row r="44" spans="1:21" s="11" customFormat="1" ht="13" x14ac:dyDescent="0.3">
      <c r="A44" s="290" t="s">
        <v>217</v>
      </c>
      <c r="B44" s="291">
        <f>SUM(B11:B43)</f>
        <v>5015.9378342800019</v>
      </c>
      <c r="C44" s="291">
        <f>SUM(C11:C43)</f>
        <v>99.999997408261322</v>
      </c>
      <c r="D44" s="291"/>
      <c r="E44" s="291">
        <f>SUM(E11:E43)</f>
        <v>4784.0189946100018</v>
      </c>
      <c r="F44" s="292">
        <f>SUM(F11:F43)</f>
        <v>99.999999999999972</v>
      </c>
      <c r="H44" s="91"/>
      <c r="I44" s="156"/>
      <c r="J44" s="91"/>
      <c r="Q44" s="18"/>
      <c r="R44" s="18"/>
      <c r="S44" s="18"/>
      <c r="T44" s="18"/>
      <c r="U44" s="18"/>
    </row>
    <row r="45" spans="1:21" x14ac:dyDescent="0.25">
      <c r="J45" s="18"/>
      <c r="R45" s="18"/>
      <c r="S45" s="18"/>
      <c r="U45" s="18"/>
    </row>
    <row r="46" spans="1:21" ht="13" x14ac:dyDescent="0.25">
      <c r="A46" s="594" t="s">
        <v>707</v>
      </c>
      <c r="B46" s="645"/>
      <c r="C46" s="645"/>
      <c r="D46" s="645"/>
      <c r="E46" s="645"/>
      <c r="F46" s="646"/>
      <c r="J46" s="18"/>
      <c r="R46" s="18"/>
      <c r="S46" s="18"/>
      <c r="U46" s="18"/>
    </row>
    <row r="47" spans="1:21" ht="13" x14ac:dyDescent="0.3">
      <c r="A47" s="26" t="s">
        <v>423</v>
      </c>
      <c r="B47" s="26" t="s">
        <v>290</v>
      </c>
      <c r="C47" s="26" t="s">
        <v>234</v>
      </c>
      <c r="D47" s="26" t="s">
        <v>423</v>
      </c>
      <c r="E47" s="26" t="s">
        <v>289</v>
      </c>
      <c r="F47" s="26" t="s">
        <v>234</v>
      </c>
      <c r="J47" s="18"/>
      <c r="R47" s="18"/>
      <c r="S47" s="18"/>
      <c r="U47" s="18"/>
    </row>
    <row r="48" spans="1:21" x14ac:dyDescent="0.25">
      <c r="A48" s="57" t="s">
        <v>216</v>
      </c>
      <c r="B48" s="46">
        <v>1806.82536009</v>
      </c>
      <c r="C48" s="149">
        <f>(B48/$B$294)*100</f>
        <v>36.021685670459611</v>
      </c>
      <c r="D48" s="46" t="s">
        <v>52</v>
      </c>
      <c r="E48" s="46">
        <v>799.58597953999993</v>
      </c>
      <c r="F48" s="153">
        <f>(E48/$E$294)*100</f>
        <v>16.713687392145971</v>
      </c>
      <c r="J48" s="18"/>
      <c r="R48" s="18"/>
      <c r="S48" s="18"/>
      <c r="U48" s="18"/>
    </row>
    <row r="49" spans="1:21" x14ac:dyDescent="0.25">
      <c r="A49" s="57" t="s">
        <v>8</v>
      </c>
      <c r="B49" s="46">
        <v>657.21623097999998</v>
      </c>
      <c r="C49" s="149">
        <f t="shared" ref="C49:C112" si="3">(B49/$B$294)*100</f>
        <v>13.102559335732652</v>
      </c>
      <c r="D49" s="46" t="s">
        <v>54</v>
      </c>
      <c r="E49" s="46">
        <v>217.07147369</v>
      </c>
      <c r="F49" s="153">
        <f t="shared" ref="F49:F112" si="4">(E49/$E$294)*100</f>
        <v>4.5374291769026724</v>
      </c>
      <c r="R49" s="18"/>
      <c r="S49" s="18"/>
      <c r="U49" s="18"/>
    </row>
    <row r="50" spans="1:21" x14ac:dyDescent="0.25">
      <c r="A50" s="57" t="s">
        <v>121</v>
      </c>
      <c r="B50" s="46">
        <v>548.46176912999999</v>
      </c>
      <c r="C50" s="149">
        <f t="shared" si="3"/>
        <v>10.934381311141744</v>
      </c>
      <c r="D50" s="46" t="s">
        <v>30</v>
      </c>
      <c r="E50" s="46">
        <v>210.63205837000001</v>
      </c>
      <c r="F50" s="153">
        <f t="shared" si="4"/>
        <v>4.402826548291559</v>
      </c>
      <c r="R50" s="18"/>
      <c r="S50" s="18"/>
      <c r="U50" s="18"/>
    </row>
    <row r="51" spans="1:21" x14ac:dyDescent="0.25">
      <c r="A51" s="57" t="s">
        <v>62</v>
      </c>
      <c r="B51" s="46">
        <v>378.90280306</v>
      </c>
      <c r="C51" s="149">
        <f t="shared" si="3"/>
        <v>7.5539772536752103</v>
      </c>
      <c r="D51" s="46" t="s">
        <v>179</v>
      </c>
      <c r="E51" s="46">
        <v>144.35275904</v>
      </c>
      <c r="F51" s="153">
        <f t="shared" si="4"/>
        <v>3.0173951901662095</v>
      </c>
      <c r="R51" s="18"/>
      <c r="S51" s="18"/>
      <c r="U51" s="18"/>
    </row>
    <row r="52" spans="1:21" x14ac:dyDescent="0.25">
      <c r="A52" s="57" t="s">
        <v>46</v>
      </c>
      <c r="B52" s="46">
        <v>178.65173816000001</v>
      </c>
      <c r="C52" s="149">
        <f t="shared" si="3"/>
        <v>3.5616816647737464</v>
      </c>
      <c r="D52" s="46" t="s">
        <v>21</v>
      </c>
      <c r="E52" s="46">
        <v>111.94786298999999</v>
      </c>
      <c r="F52" s="153">
        <f t="shared" si="4"/>
        <v>2.3400380123099018</v>
      </c>
      <c r="R52" s="18"/>
      <c r="S52" s="18"/>
      <c r="U52" s="18"/>
    </row>
    <row r="53" spans="1:21" x14ac:dyDescent="0.25">
      <c r="A53" s="57" t="s">
        <v>85</v>
      </c>
      <c r="B53" s="46">
        <v>152.80880827000001</v>
      </c>
      <c r="C53" s="149">
        <f t="shared" si="3"/>
        <v>3.0464653534115147</v>
      </c>
      <c r="D53" s="46" t="s">
        <v>12</v>
      </c>
      <c r="E53" s="46">
        <v>96.869515689999886</v>
      </c>
      <c r="F53" s="153">
        <f t="shared" si="4"/>
        <v>2.0248564188214897</v>
      </c>
      <c r="R53" s="18"/>
      <c r="S53" s="18"/>
      <c r="U53" s="18"/>
    </row>
    <row r="54" spans="1:21" x14ac:dyDescent="0.25">
      <c r="A54" s="57" t="s">
        <v>54</v>
      </c>
      <c r="B54" s="46">
        <v>118.22631523</v>
      </c>
      <c r="C54" s="149">
        <f t="shared" si="3"/>
        <v>2.35701316754797</v>
      </c>
      <c r="D54" s="46" t="s">
        <v>28</v>
      </c>
      <c r="E54" s="46">
        <v>93.202330149999895</v>
      </c>
      <c r="F54" s="153">
        <f t="shared" si="4"/>
        <v>1.9482015070384953</v>
      </c>
      <c r="R54" s="18"/>
      <c r="S54" s="18"/>
      <c r="U54" s="18"/>
    </row>
    <row r="55" spans="1:21" x14ac:dyDescent="0.25">
      <c r="A55" s="57" t="s">
        <v>96</v>
      </c>
      <c r="B55" s="46">
        <v>115.73619854</v>
      </c>
      <c r="C55" s="149">
        <f t="shared" si="3"/>
        <v>2.3073690776036724</v>
      </c>
      <c r="D55" s="46" t="s">
        <v>62</v>
      </c>
      <c r="E55" s="46">
        <v>92.4087599100001</v>
      </c>
      <c r="F55" s="153">
        <f t="shared" si="4"/>
        <v>1.9316135662110472</v>
      </c>
      <c r="R55" s="18"/>
      <c r="S55" s="18"/>
      <c r="U55" s="18"/>
    </row>
    <row r="56" spans="1:21" x14ac:dyDescent="0.25">
      <c r="A56" s="57" t="s">
        <v>0</v>
      </c>
      <c r="B56" s="46">
        <v>96.037143</v>
      </c>
      <c r="C56" s="149">
        <f t="shared" si="3"/>
        <v>1.9146398175763171</v>
      </c>
      <c r="D56" s="46" t="s">
        <v>83</v>
      </c>
      <c r="E56" s="46">
        <v>87.737425619999797</v>
      </c>
      <c r="F56" s="153">
        <f t="shared" si="4"/>
        <v>1.8339690063699732</v>
      </c>
      <c r="R56" s="18"/>
      <c r="S56" s="18"/>
      <c r="U56" s="18"/>
    </row>
    <row r="57" spans="1:21" x14ac:dyDescent="0.25">
      <c r="A57" s="57" t="s">
        <v>30</v>
      </c>
      <c r="B57" s="46">
        <v>87.74538204000001</v>
      </c>
      <c r="C57" s="149">
        <f t="shared" si="3"/>
        <v>1.7493315295961049</v>
      </c>
      <c r="D57" s="46" t="s">
        <v>27</v>
      </c>
      <c r="E57" s="46">
        <v>78.719829910000001</v>
      </c>
      <c r="F57" s="153">
        <f t="shared" si="4"/>
        <v>1.6454748611719792</v>
      </c>
      <c r="R57" s="18"/>
      <c r="S57" s="18"/>
      <c r="U57" s="18"/>
    </row>
    <row r="58" spans="1:21" x14ac:dyDescent="0.25">
      <c r="A58" s="57" t="s">
        <v>101</v>
      </c>
      <c r="B58" s="46">
        <v>72.816993980000007</v>
      </c>
      <c r="C58" s="149">
        <f t="shared" si="3"/>
        <v>1.4517124491127664</v>
      </c>
      <c r="D58" s="46" t="s">
        <v>208</v>
      </c>
      <c r="E58" s="46">
        <v>75.968108310000105</v>
      </c>
      <c r="F58" s="153">
        <f t="shared" si="4"/>
        <v>1.5879558253341159</v>
      </c>
      <c r="R58" s="18"/>
      <c r="S58" s="18"/>
      <c r="U58" s="18"/>
    </row>
    <row r="59" spans="1:21" x14ac:dyDescent="0.25">
      <c r="A59" s="57" t="s">
        <v>127</v>
      </c>
      <c r="B59" s="46">
        <v>53.587156970000002</v>
      </c>
      <c r="C59" s="149">
        <f t="shared" si="3"/>
        <v>1.0683377414244224</v>
      </c>
      <c r="D59" s="46" t="s">
        <v>106</v>
      </c>
      <c r="E59" s="46">
        <v>72.403852760000007</v>
      </c>
      <c r="F59" s="153">
        <f t="shared" si="4"/>
        <v>1.5134524516222678</v>
      </c>
      <c r="R59" s="18"/>
      <c r="S59" s="18"/>
      <c r="U59" s="18"/>
    </row>
    <row r="60" spans="1:21" x14ac:dyDescent="0.25">
      <c r="A60" s="57" t="s">
        <v>138</v>
      </c>
      <c r="B60" s="46">
        <v>43.290389420000004</v>
      </c>
      <c r="C60" s="149">
        <f t="shared" si="3"/>
        <v>0.86305673734917887</v>
      </c>
      <c r="D60" s="46" t="s">
        <v>84</v>
      </c>
      <c r="E60" s="46">
        <v>69.5030814200002</v>
      </c>
      <c r="F60" s="153">
        <f t="shared" si="4"/>
        <v>1.4528178399439275</v>
      </c>
      <c r="R60" s="18"/>
      <c r="S60" s="18"/>
      <c r="U60" s="18"/>
    </row>
    <row r="61" spans="1:21" x14ac:dyDescent="0.25">
      <c r="A61" s="57" t="s">
        <v>48</v>
      </c>
      <c r="B61" s="46">
        <v>42.872871739999901</v>
      </c>
      <c r="C61" s="149">
        <f t="shared" si="3"/>
        <v>0.85473291648467975</v>
      </c>
      <c r="D61" s="46" t="s">
        <v>15</v>
      </c>
      <c r="E61" s="46">
        <v>69.228308260000006</v>
      </c>
      <c r="F61" s="153">
        <f t="shared" si="4"/>
        <v>1.4470742766280258</v>
      </c>
      <c r="R61" s="18"/>
      <c r="S61" s="18"/>
      <c r="U61" s="18"/>
    </row>
    <row r="62" spans="1:21" x14ac:dyDescent="0.25">
      <c r="A62" s="57" t="s">
        <v>2</v>
      </c>
      <c r="B62" s="46">
        <v>41.755172819999999</v>
      </c>
      <c r="C62" s="149">
        <f t="shared" si="3"/>
        <v>0.83244996647757818</v>
      </c>
      <c r="D62" s="46" t="s">
        <v>66</v>
      </c>
      <c r="E62" s="46">
        <v>68.728662659999998</v>
      </c>
      <c r="F62" s="153">
        <f t="shared" si="4"/>
        <v>1.4366302211056095</v>
      </c>
      <c r="R62" s="18"/>
      <c r="S62" s="18"/>
      <c r="U62" s="18"/>
    </row>
    <row r="63" spans="1:21" x14ac:dyDescent="0.25">
      <c r="A63" s="57" t="s">
        <v>125</v>
      </c>
      <c r="B63" s="46">
        <v>41.72637872</v>
      </c>
      <c r="C63" s="149">
        <f t="shared" si="3"/>
        <v>0.83187591430725005</v>
      </c>
      <c r="D63" s="46" t="s">
        <v>81</v>
      </c>
      <c r="E63" s="46">
        <v>67.761928819999994</v>
      </c>
      <c r="F63" s="153">
        <f t="shared" si="4"/>
        <v>1.4164226541814566</v>
      </c>
      <c r="R63" s="18"/>
      <c r="S63" s="18"/>
      <c r="U63" s="18"/>
    </row>
    <row r="64" spans="1:21" x14ac:dyDescent="0.25">
      <c r="A64" s="57" t="s">
        <v>28</v>
      </c>
      <c r="B64" s="46">
        <v>36.828464490000002</v>
      </c>
      <c r="C64" s="149">
        <f t="shared" si="3"/>
        <v>0.73422888613782966</v>
      </c>
      <c r="D64" s="46" t="s">
        <v>105</v>
      </c>
      <c r="E64" s="46">
        <v>66.327107580000103</v>
      </c>
      <c r="F64" s="153">
        <f t="shared" si="4"/>
        <v>1.3864306904869883</v>
      </c>
      <c r="R64" s="18"/>
      <c r="S64" s="18"/>
      <c r="U64" s="18"/>
    </row>
    <row r="65" spans="1:21" x14ac:dyDescent="0.25">
      <c r="A65" s="57" t="s">
        <v>55</v>
      </c>
      <c r="B65" s="46">
        <v>36.77217383</v>
      </c>
      <c r="C65" s="149">
        <f t="shared" si="3"/>
        <v>0.73310665014010068</v>
      </c>
      <c r="D65" s="46" t="s">
        <v>74</v>
      </c>
      <c r="E65" s="46">
        <v>64.680430479999998</v>
      </c>
      <c r="F65" s="153">
        <f t="shared" si="4"/>
        <v>1.3520103192080415</v>
      </c>
      <c r="R65" s="18"/>
      <c r="S65" s="18"/>
      <c r="U65" s="18"/>
    </row>
    <row r="66" spans="1:21" x14ac:dyDescent="0.25">
      <c r="A66" s="57" t="s">
        <v>184</v>
      </c>
      <c r="B66" s="46">
        <v>35.259809959999998</v>
      </c>
      <c r="C66" s="149">
        <f t="shared" si="3"/>
        <v>0.70295548160559085</v>
      </c>
      <c r="D66" s="46" t="s">
        <v>96</v>
      </c>
      <c r="E66" s="46">
        <v>63.559973429999999</v>
      </c>
      <c r="F66" s="153">
        <f t="shared" si="4"/>
        <v>1.3285894872409783</v>
      </c>
      <c r="R66" s="18"/>
      <c r="S66" s="18"/>
      <c r="U66" s="18"/>
    </row>
    <row r="67" spans="1:21" x14ac:dyDescent="0.25">
      <c r="A67" s="57" t="s">
        <v>11</v>
      </c>
      <c r="B67" s="46">
        <v>32.673270719999998</v>
      </c>
      <c r="C67" s="149">
        <f t="shared" si="3"/>
        <v>0.65138906819585851</v>
      </c>
      <c r="D67" s="46" t="s">
        <v>355</v>
      </c>
      <c r="E67" s="46">
        <v>54.894878299999995</v>
      </c>
      <c r="F67" s="153">
        <f t="shared" si="4"/>
        <v>1.1474636359481074</v>
      </c>
      <c r="R67" s="18"/>
      <c r="S67" s="18"/>
      <c r="U67" s="18"/>
    </row>
    <row r="68" spans="1:21" x14ac:dyDescent="0.25">
      <c r="A68" s="57" t="s">
        <v>179</v>
      </c>
      <c r="B68" s="46">
        <v>27.611029089999999</v>
      </c>
      <c r="C68" s="149">
        <f t="shared" si="3"/>
        <v>0.55046593483077666</v>
      </c>
      <c r="D68" s="46" t="s">
        <v>138</v>
      </c>
      <c r="E68" s="46">
        <v>52.707178359999801</v>
      </c>
      <c r="F68" s="153">
        <f t="shared" si="4"/>
        <v>1.1017343037179259</v>
      </c>
      <c r="R68" s="18"/>
      <c r="S68" s="18"/>
      <c r="U68" s="18"/>
    </row>
    <row r="69" spans="1:21" x14ac:dyDescent="0.25">
      <c r="A69" s="57" t="s">
        <v>208</v>
      </c>
      <c r="B69" s="46">
        <v>25.503016460000001</v>
      </c>
      <c r="C69" s="149">
        <f t="shared" si="3"/>
        <v>0.50843964384300988</v>
      </c>
      <c r="D69" s="46" t="s">
        <v>174</v>
      </c>
      <c r="E69" s="46">
        <v>48.229496759999996</v>
      </c>
      <c r="F69" s="153">
        <f t="shared" si="4"/>
        <v>1.0081376519269387</v>
      </c>
      <c r="R69" s="18"/>
      <c r="S69" s="18"/>
      <c r="U69" s="18"/>
    </row>
    <row r="70" spans="1:21" x14ac:dyDescent="0.25">
      <c r="A70" s="57" t="s">
        <v>84</v>
      </c>
      <c r="B70" s="46">
        <v>24.119238329999998</v>
      </c>
      <c r="C70" s="149">
        <f t="shared" si="3"/>
        <v>0.48085201864273397</v>
      </c>
      <c r="D70" s="46" t="s">
        <v>189</v>
      </c>
      <c r="E70" s="46">
        <v>47.823486899999999</v>
      </c>
      <c r="F70" s="153">
        <f t="shared" si="4"/>
        <v>0.99965085744603399</v>
      </c>
      <c r="R70" s="18"/>
      <c r="S70" s="18"/>
      <c r="U70" s="18"/>
    </row>
    <row r="71" spans="1:21" x14ac:dyDescent="0.25">
      <c r="A71" s="57" t="s">
        <v>115</v>
      </c>
      <c r="B71" s="46">
        <v>23.26739203</v>
      </c>
      <c r="C71" s="149">
        <f t="shared" si="3"/>
        <v>0.46386922642831896</v>
      </c>
      <c r="D71" s="46" t="s">
        <v>176</v>
      </c>
      <c r="E71" s="46">
        <v>46.886787889999894</v>
      </c>
      <c r="F71" s="153">
        <f t="shared" si="4"/>
        <v>0.98007110638201334</v>
      </c>
      <c r="R71" s="18"/>
      <c r="S71" s="18"/>
      <c r="U71" s="18"/>
    </row>
    <row r="72" spans="1:21" x14ac:dyDescent="0.25">
      <c r="A72" s="57" t="s">
        <v>177</v>
      </c>
      <c r="B72" s="46">
        <v>20.152268109999998</v>
      </c>
      <c r="C72" s="149">
        <f t="shared" si="3"/>
        <v>0.4017647103254563</v>
      </c>
      <c r="D72" s="46" t="s">
        <v>29</v>
      </c>
      <c r="E72" s="46">
        <v>44.31477022</v>
      </c>
      <c r="F72" s="153">
        <f t="shared" si="4"/>
        <v>0.92630840868165498</v>
      </c>
      <c r="R72" s="18"/>
      <c r="S72" s="18"/>
      <c r="U72" s="18"/>
    </row>
    <row r="73" spans="1:21" x14ac:dyDescent="0.25">
      <c r="A73" s="57" t="s">
        <v>15</v>
      </c>
      <c r="B73" s="46">
        <v>19.99339771</v>
      </c>
      <c r="C73" s="149">
        <f t="shared" si="3"/>
        <v>0.39859739834415053</v>
      </c>
      <c r="D73" s="46" t="s">
        <v>80</v>
      </c>
      <c r="E73" s="46">
        <v>43.203383080000101</v>
      </c>
      <c r="F73" s="153">
        <f t="shared" si="4"/>
        <v>0.9030771643815787</v>
      </c>
      <c r="R73" s="18"/>
      <c r="S73" s="18"/>
      <c r="U73" s="18"/>
    </row>
    <row r="74" spans="1:21" x14ac:dyDescent="0.25">
      <c r="A74" s="57" t="s">
        <v>36</v>
      </c>
      <c r="B74" s="46">
        <v>18.76841112</v>
      </c>
      <c r="C74" s="149">
        <f t="shared" si="3"/>
        <v>0.37417551293663653</v>
      </c>
      <c r="D74" s="46" t="s">
        <v>5</v>
      </c>
      <c r="E74" s="46">
        <v>42.261631380000004</v>
      </c>
      <c r="F74" s="153">
        <f t="shared" si="4"/>
        <v>0.88339179730713491</v>
      </c>
      <c r="R74" s="18"/>
      <c r="S74" s="18"/>
      <c r="U74" s="18"/>
    </row>
    <row r="75" spans="1:21" x14ac:dyDescent="0.25">
      <c r="A75" s="57" t="s">
        <v>18</v>
      </c>
      <c r="B75" s="46">
        <v>17.484134699999998</v>
      </c>
      <c r="C75" s="149">
        <f t="shared" si="3"/>
        <v>0.34857159872496152</v>
      </c>
      <c r="D75" s="46" t="s">
        <v>18</v>
      </c>
      <c r="E75" s="46">
        <v>39.706373479999996</v>
      </c>
      <c r="F75" s="153">
        <f t="shared" si="4"/>
        <v>0.82997942785628331</v>
      </c>
      <c r="R75" s="18"/>
      <c r="S75" s="18"/>
      <c r="U75" s="18"/>
    </row>
    <row r="76" spans="1:21" x14ac:dyDescent="0.25">
      <c r="A76" s="57" t="s">
        <v>133</v>
      </c>
      <c r="B76" s="46">
        <v>16.211261320000002</v>
      </c>
      <c r="C76" s="149">
        <f t="shared" si="3"/>
        <v>0.32319502066410705</v>
      </c>
      <c r="D76" s="46" t="s">
        <v>180</v>
      </c>
      <c r="E76" s="46">
        <v>39.189980380000002</v>
      </c>
      <c r="F76" s="153">
        <f t="shared" si="4"/>
        <v>0.8191853005632731</v>
      </c>
      <c r="R76" s="18"/>
      <c r="S76" s="18"/>
      <c r="U76" s="18"/>
    </row>
    <row r="77" spans="1:21" x14ac:dyDescent="0.25">
      <c r="A77" s="57" t="s">
        <v>88</v>
      </c>
      <c r="B77" s="46">
        <v>14.65607638</v>
      </c>
      <c r="C77" s="149">
        <f t="shared" si="3"/>
        <v>0.2921901519559757</v>
      </c>
      <c r="D77" s="46" t="s">
        <v>178</v>
      </c>
      <c r="E77" s="46">
        <v>38.450471289999996</v>
      </c>
      <c r="F77" s="153">
        <f t="shared" si="4"/>
        <v>0.80372739600994281</v>
      </c>
      <c r="R77" s="18"/>
      <c r="S77" s="18"/>
      <c r="U77" s="18"/>
    </row>
    <row r="78" spans="1:21" x14ac:dyDescent="0.25">
      <c r="A78" s="57" t="s">
        <v>140</v>
      </c>
      <c r="B78" s="46">
        <v>12.72968178</v>
      </c>
      <c r="C78" s="149">
        <f t="shared" si="3"/>
        <v>0.25378467996558129</v>
      </c>
      <c r="D78" s="46" t="s">
        <v>17</v>
      </c>
      <c r="E78" s="46">
        <v>37.626914380000002</v>
      </c>
      <c r="F78" s="153">
        <f t="shared" si="4"/>
        <v>0.78651264600732229</v>
      </c>
      <c r="R78" s="18"/>
      <c r="S78" s="18"/>
      <c r="U78" s="18"/>
    </row>
    <row r="79" spans="1:21" x14ac:dyDescent="0.25">
      <c r="A79" s="57" t="s">
        <v>27</v>
      </c>
      <c r="B79" s="46">
        <v>11.250020220000001</v>
      </c>
      <c r="C79" s="149">
        <f t="shared" si="3"/>
        <v>0.22428547943945687</v>
      </c>
      <c r="D79" s="46" t="s">
        <v>125</v>
      </c>
      <c r="E79" s="46">
        <v>36.573660820000001</v>
      </c>
      <c r="F79" s="153">
        <f t="shared" si="4"/>
        <v>0.76449656368852981</v>
      </c>
      <c r="R79" s="18"/>
      <c r="S79" s="18"/>
      <c r="U79" s="18"/>
    </row>
    <row r="80" spans="1:21" x14ac:dyDescent="0.25">
      <c r="A80" s="57" t="s">
        <v>178</v>
      </c>
      <c r="B80" s="46">
        <v>10.581162560000001</v>
      </c>
      <c r="C80" s="149">
        <f t="shared" si="3"/>
        <v>0.21095083132183301</v>
      </c>
      <c r="D80" s="46" t="s">
        <v>195</v>
      </c>
      <c r="E80" s="46">
        <v>35.655120680000003</v>
      </c>
      <c r="F80" s="153">
        <f t="shared" si="4"/>
        <v>0.74529638615924132</v>
      </c>
      <c r="R80" s="18"/>
      <c r="S80" s="18"/>
      <c r="U80" s="18"/>
    </row>
    <row r="81" spans="1:21" x14ac:dyDescent="0.25">
      <c r="A81" s="57" t="s">
        <v>80</v>
      </c>
      <c r="B81" s="46">
        <v>10.355269470000001</v>
      </c>
      <c r="C81" s="149">
        <f t="shared" si="3"/>
        <v>0.20644732475011679</v>
      </c>
      <c r="D81" s="46" t="s">
        <v>22</v>
      </c>
      <c r="E81" s="46">
        <v>34.45956975</v>
      </c>
      <c r="F81" s="153">
        <f t="shared" si="4"/>
        <v>0.72030587229742371</v>
      </c>
      <c r="R81" s="18"/>
      <c r="S81" s="18"/>
      <c r="U81" s="18"/>
    </row>
    <row r="82" spans="1:21" x14ac:dyDescent="0.25">
      <c r="A82" s="57" t="s">
        <v>97</v>
      </c>
      <c r="B82" s="46">
        <v>9.6196337300000003</v>
      </c>
      <c r="C82" s="149">
        <f t="shared" si="3"/>
        <v>0.19178135869741755</v>
      </c>
      <c r="D82" s="46" t="s">
        <v>20</v>
      </c>
      <c r="E82" s="46">
        <v>33.816277349999901</v>
      </c>
      <c r="F82" s="153">
        <f t="shared" si="4"/>
        <v>0.70685917819514532</v>
      </c>
      <c r="R82" s="18"/>
      <c r="S82" s="18"/>
      <c r="U82" s="18"/>
    </row>
    <row r="83" spans="1:21" x14ac:dyDescent="0.25">
      <c r="A83" s="57" t="s">
        <v>68</v>
      </c>
      <c r="B83" s="46">
        <v>9.1933562899999988</v>
      </c>
      <c r="C83" s="149">
        <f t="shared" si="3"/>
        <v>0.18328289930490418</v>
      </c>
      <c r="D83" s="46" t="s">
        <v>113</v>
      </c>
      <c r="E83" s="46">
        <v>33.430512829999998</v>
      </c>
      <c r="F83" s="153">
        <f t="shared" si="4"/>
        <v>0.69879557057915287</v>
      </c>
      <c r="R83" s="18"/>
      <c r="S83" s="18"/>
      <c r="U83" s="18"/>
    </row>
    <row r="84" spans="1:21" x14ac:dyDescent="0.25">
      <c r="A84" s="57" t="s">
        <v>63</v>
      </c>
      <c r="B84" s="46">
        <v>7.63869372</v>
      </c>
      <c r="C84" s="149">
        <f t="shared" si="3"/>
        <v>0.15228844480080125</v>
      </c>
      <c r="D84" s="46" t="s">
        <v>171</v>
      </c>
      <c r="E84" s="46">
        <v>33.373441399999997</v>
      </c>
      <c r="F84" s="153">
        <f t="shared" si="4"/>
        <v>0.69760261064182183</v>
      </c>
      <c r="R84" s="18"/>
      <c r="S84" s="18"/>
      <c r="U84" s="18"/>
    </row>
    <row r="85" spans="1:21" x14ac:dyDescent="0.25">
      <c r="A85" s="57" t="s">
        <v>117</v>
      </c>
      <c r="B85" s="46">
        <v>7.5605124899999998</v>
      </c>
      <c r="C85" s="149">
        <f t="shared" si="3"/>
        <v>0.15072978852189578</v>
      </c>
      <c r="D85" s="46" t="s">
        <v>16</v>
      </c>
      <c r="E85" s="46">
        <v>33.274716530000099</v>
      </c>
      <c r="F85" s="153">
        <f t="shared" si="4"/>
        <v>0.69553897188722802</v>
      </c>
      <c r="R85" s="18"/>
      <c r="S85" s="18"/>
      <c r="U85" s="18"/>
    </row>
    <row r="86" spans="1:21" x14ac:dyDescent="0.25">
      <c r="A86" s="57" t="s">
        <v>143</v>
      </c>
      <c r="B86" s="46">
        <v>7.5159400099999996</v>
      </c>
      <c r="C86" s="149">
        <f t="shared" si="3"/>
        <v>0.14984117144822748</v>
      </c>
      <c r="D86" s="46" t="s">
        <v>131</v>
      </c>
      <c r="E86" s="46">
        <v>32.806989989999998</v>
      </c>
      <c r="F86" s="153">
        <f t="shared" si="4"/>
        <v>0.68576211814715982</v>
      </c>
      <c r="R86" s="18"/>
      <c r="S86" s="18"/>
      <c r="U86" s="18"/>
    </row>
    <row r="87" spans="1:21" x14ac:dyDescent="0.25">
      <c r="A87" s="57" t="s">
        <v>104</v>
      </c>
      <c r="B87" s="46">
        <v>7.1350886900000008</v>
      </c>
      <c r="C87" s="149">
        <f t="shared" si="3"/>
        <v>0.14224834768160943</v>
      </c>
      <c r="D87" s="46" t="s">
        <v>48</v>
      </c>
      <c r="E87" s="46">
        <v>31.247647739999998</v>
      </c>
      <c r="F87" s="153">
        <f t="shared" si="4"/>
        <v>0.65316730086577235</v>
      </c>
      <c r="R87" s="18"/>
      <c r="S87" s="18"/>
      <c r="U87" s="18"/>
    </row>
    <row r="88" spans="1:21" x14ac:dyDescent="0.25">
      <c r="A88" s="57" t="s">
        <v>172</v>
      </c>
      <c r="B88" s="46">
        <v>6.9525496799999997</v>
      </c>
      <c r="C88" s="149">
        <f t="shared" si="3"/>
        <v>0.13860916761138428</v>
      </c>
      <c r="D88" s="46" t="s">
        <v>151</v>
      </c>
      <c r="E88" s="46">
        <v>30.363401329999999</v>
      </c>
      <c r="F88" s="153">
        <f t="shared" si="4"/>
        <v>0.63468396267258687</v>
      </c>
      <c r="R88" s="18"/>
      <c r="S88" s="18"/>
      <c r="U88" s="18"/>
    </row>
    <row r="89" spans="1:21" x14ac:dyDescent="0.25">
      <c r="A89" s="57" t="s">
        <v>58</v>
      </c>
      <c r="B89" s="46">
        <v>6.7650589100000005</v>
      </c>
      <c r="C89" s="149">
        <f t="shared" si="3"/>
        <v>0.13487126701942226</v>
      </c>
      <c r="D89" s="46" t="s">
        <v>85</v>
      </c>
      <c r="E89" s="46">
        <v>29.46264978</v>
      </c>
      <c r="F89" s="153">
        <f t="shared" si="4"/>
        <v>0.6158556187422044</v>
      </c>
      <c r="R89" s="18"/>
      <c r="S89" s="18"/>
      <c r="U89" s="18"/>
    </row>
    <row r="90" spans="1:21" x14ac:dyDescent="0.25">
      <c r="A90" s="57" t="s">
        <v>10</v>
      </c>
      <c r="B90" s="46">
        <v>6.2521129200000001</v>
      </c>
      <c r="C90" s="149">
        <f t="shared" si="3"/>
        <v>0.12464494430675989</v>
      </c>
      <c r="D90" s="46" t="s">
        <v>145</v>
      </c>
      <c r="E90" s="46">
        <v>29.257613280000001</v>
      </c>
      <c r="F90" s="153">
        <f t="shared" si="4"/>
        <v>0.61156975574226635</v>
      </c>
      <c r="R90" s="18"/>
      <c r="S90" s="18"/>
      <c r="U90" s="18"/>
    </row>
    <row r="91" spans="1:21" x14ac:dyDescent="0.25">
      <c r="A91" s="57" t="s">
        <v>116</v>
      </c>
      <c r="B91" s="46">
        <v>5.9030479600000003</v>
      </c>
      <c r="C91" s="149">
        <f t="shared" si="3"/>
        <v>0.11768582775602404</v>
      </c>
      <c r="D91" s="46" t="s">
        <v>127</v>
      </c>
      <c r="E91" s="46">
        <v>29.121406589999999</v>
      </c>
      <c r="F91" s="153">
        <f t="shared" si="4"/>
        <v>0.60872263723890208</v>
      </c>
      <c r="R91" s="18"/>
      <c r="S91" s="18"/>
      <c r="U91" s="18"/>
    </row>
    <row r="92" spans="1:21" x14ac:dyDescent="0.25">
      <c r="A92" s="57" t="s">
        <v>45</v>
      </c>
      <c r="B92" s="46">
        <v>5.7343583799999998</v>
      </c>
      <c r="C92" s="149">
        <f t="shared" si="3"/>
        <v>0.11432275617154108</v>
      </c>
      <c r="D92" s="46" t="s">
        <v>146</v>
      </c>
      <c r="E92" s="46">
        <v>26.345225629999998</v>
      </c>
      <c r="F92" s="153">
        <f t="shared" si="4"/>
        <v>0.55069232918352362</v>
      </c>
      <c r="R92" s="18"/>
      <c r="S92" s="18"/>
      <c r="U92" s="18"/>
    </row>
    <row r="93" spans="1:21" x14ac:dyDescent="0.25">
      <c r="A93" s="57" t="s">
        <v>146</v>
      </c>
      <c r="B93" s="46">
        <v>5.2091051200000003</v>
      </c>
      <c r="C93" s="149">
        <f t="shared" si="3"/>
        <v>0.10385107017076362</v>
      </c>
      <c r="D93" s="46" t="s">
        <v>58</v>
      </c>
      <c r="E93" s="46">
        <v>26.287377420000002</v>
      </c>
      <c r="F93" s="153">
        <f t="shared" si="4"/>
        <v>0.54948313227052703</v>
      </c>
      <c r="R93" s="18"/>
      <c r="S93" s="18"/>
      <c r="U93" s="18"/>
    </row>
    <row r="94" spans="1:21" x14ac:dyDescent="0.25">
      <c r="A94" s="57" t="s">
        <v>9</v>
      </c>
      <c r="B94" s="46">
        <v>4.7579237900000004</v>
      </c>
      <c r="C94" s="149">
        <f t="shared" si="3"/>
        <v>9.4856115589856918E-2</v>
      </c>
      <c r="D94" s="46" t="s">
        <v>76</v>
      </c>
      <c r="E94" s="46">
        <v>25.711550819999999</v>
      </c>
      <c r="F94" s="153">
        <f t="shared" si="4"/>
        <v>0.53744667086331332</v>
      </c>
      <c r="R94" s="18"/>
      <c r="S94" s="18"/>
      <c r="U94" s="18"/>
    </row>
    <row r="95" spans="1:21" x14ac:dyDescent="0.25">
      <c r="A95" s="57" t="s">
        <v>151</v>
      </c>
      <c r="B95" s="46">
        <v>4.5602447100000001</v>
      </c>
      <c r="C95" s="149">
        <f t="shared" si="3"/>
        <v>9.0915096252475611E-2</v>
      </c>
      <c r="D95" s="46" t="s">
        <v>214</v>
      </c>
      <c r="E95" s="46">
        <v>25.44499424</v>
      </c>
      <c r="F95" s="153">
        <f t="shared" si="4"/>
        <v>0.53187485811966995</v>
      </c>
      <c r="R95" s="18"/>
      <c r="S95" s="18"/>
      <c r="U95" s="18"/>
    </row>
    <row r="96" spans="1:21" x14ac:dyDescent="0.25">
      <c r="A96" s="57" t="s">
        <v>188</v>
      </c>
      <c r="B96" s="46">
        <v>4.3040478200000001</v>
      </c>
      <c r="C96" s="149">
        <f t="shared" si="3"/>
        <v>8.5807439450010972E-2</v>
      </c>
      <c r="D96" s="46" t="s">
        <v>140</v>
      </c>
      <c r="E96" s="46">
        <v>25.356589449999998</v>
      </c>
      <c r="F96" s="153">
        <f t="shared" si="4"/>
        <v>0.53002693924435607</v>
      </c>
      <c r="R96" s="18"/>
      <c r="S96" s="18"/>
      <c r="U96" s="18"/>
    </row>
    <row r="97" spans="1:21" x14ac:dyDescent="0.25">
      <c r="A97" s="57" t="s">
        <v>173</v>
      </c>
      <c r="B97" s="46">
        <v>4.0910031399999998</v>
      </c>
      <c r="C97" s="149">
        <f t="shared" si="3"/>
        <v>8.1560084577627825E-2</v>
      </c>
      <c r="D97" s="46" t="s">
        <v>94</v>
      </c>
      <c r="E97" s="46">
        <v>25.152991289999999</v>
      </c>
      <c r="F97" s="153">
        <f t="shared" si="4"/>
        <v>0.525771141760496</v>
      </c>
      <c r="R97" s="18"/>
      <c r="S97" s="18"/>
      <c r="U97" s="18"/>
    </row>
    <row r="98" spans="1:21" x14ac:dyDescent="0.25">
      <c r="A98" s="57" t="s">
        <v>162</v>
      </c>
      <c r="B98" s="46">
        <v>3.8413052699999999</v>
      </c>
      <c r="C98" s="149">
        <f t="shared" si="3"/>
        <v>7.6581995170428435E-2</v>
      </c>
      <c r="D98" s="46" t="s">
        <v>31</v>
      </c>
      <c r="E98" s="46">
        <v>25.117379789999998</v>
      </c>
      <c r="F98" s="153">
        <f t="shared" si="4"/>
        <v>0.5250267571742282</v>
      </c>
      <c r="R98" s="18"/>
      <c r="S98" s="18"/>
      <c r="U98" s="18"/>
    </row>
    <row r="99" spans="1:21" x14ac:dyDescent="0.25">
      <c r="A99" s="57" t="s">
        <v>50</v>
      </c>
      <c r="B99" s="46">
        <v>3.6907783700000003</v>
      </c>
      <c r="C99" s="149">
        <f t="shared" si="3"/>
        <v>7.3581022969950463E-2</v>
      </c>
      <c r="D99" s="46" t="s">
        <v>182</v>
      </c>
      <c r="E99" s="46">
        <v>24.370663050000001</v>
      </c>
      <c r="F99" s="153">
        <f t="shared" si="4"/>
        <v>0.50941819163882163</v>
      </c>
      <c r="R99" s="18"/>
      <c r="S99" s="18"/>
      <c r="U99" s="18"/>
    </row>
    <row r="100" spans="1:21" x14ac:dyDescent="0.25">
      <c r="A100" s="57" t="s">
        <v>159</v>
      </c>
      <c r="B100" s="46">
        <v>3.6816512499999998</v>
      </c>
      <c r="C100" s="149">
        <f t="shared" si="3"/>
        <v>7.3399060587210699E-2</v>
      </c>
      <c r="D100" s="46" t="s">
        <v>119</v>
      </c>
      <c r="E100" s="46">
        <v>24.046587280000001</v>
      </c>
      <c r="F100" s="153">
        <f t="shared" si="4"/>
        <v>0.5026440594632362</v>
      </c>
      <c r="R100" s="18"/>
      <c r="S100" s="18"/>
      <c r="U100" s="18"/>
    </row>
    <row r="101" spans="1:21" x14ac:dyDescent="0.25">
      <c r="A101" s="57" t="s">
        <v>157</v>
      </c>
      <c r="B101" s="46">
        <v>3.6599039100000001</v>
      </c>
      <c r="C101" s="149">
        <f t="shared" si="3"/>
        <v>7.2965495803943792E-2</v>
      </c>
      <c r="D101" s="46" t="s">
        <v>173</v>
      </c>
      <c r="E101" s="46">
        <v>23.21067008</v>
      </c>
      <c r="F101" s="153">
        <f t="shared" si="4"/>
        <v>0.48517094322055815</v>
      </c>
      <c r="R101" s="18"/>
      <c r="S101" s="18"/>
      <c r="U101" s="18"/>
    </row>
    <row r="102" spans="1:21" x14ac:dyDescent="0.25">
      <c r="A102" s="57" t="s">
        <v>113</v>
      </c>
      <c r="B102" s="46">
        <v>3.4506601699999999</v>
      </c>
      <c r="C102" s="149">
        <f t="shared" si="3"/>
        <v>6.8793918186494399E-2</v>
      </c>
      <c r="D102" s="46" t="s">
        <v>82</v>
      </c>
      <c r="E102" s="46">
        <v>22.807420199999999</v>
      </c>
      <c r="F102" s="153">
        <f t="shared" si="4"/>
        <v>0.47674184040022388</v>
      </c>
      <c r="R102" s="18"/>
      <c r="S102" s="18"/>
      <c r="U102" s="18"/>
    </row>
    <row r="103" spans="1:21" x14ac:dyDescent="0.25">
      <c r="A103" s="57" t="s">
        <v>202</v>
      </c>
      <c r="B103" s="46">
        <v>3.3697805999999999</v>
      </c>
      <c r="C103" s="149">
        <f t="shared" si="3"/>
        <v>6.7181466583780103E-2</v>
      </c>
      <c r="D103" s="46" t="s">
        <v>157</v>
      </c>
      <c r="E103" s="46">
        <v>22.401899800000002</v>
      </c>
      <c r="F103" s="153">
        <f t="shared" si="4"/>
        <v>0.46826527706598786</v>
      </c>
      <c r="R103" s="18"/>
      <c r="S103" s="18"/>
      <c r="U103" s="18"/>
    </row>
    <row r="104" spans="1:21" x14ac:dyDescent="0.25">
      <c r="A104" s="57" t="s">
        <v>79</v>
      </c>
      <c r="B104" s="46">
        <v>3.0433824700000001</v>
      </c>
      <c r="C104" s="149">
        <f t="shared" si="3"/>
        <v>6.0674246183851609E-2</v>
      </c>
      <c r="D104" s="46" t="s">
        <v>26</v>
      </c>
      <c r="E104" s="46">
        <v>22.02799478</v>
      </c>
      <c r="F104" s="153">
        <f t="shared" si="4"/>
        <v>0.46044956771321838</v>
      </c>
      <c r="R104" s="18"/>
      <c r="S104" s="18"/>
      <c r="U104" s="18"/>
    </row>
    <row r="105" spans="1:21" x14ac:dyDescent="0.25">
      <c r="A105" s="57" t="s">
        <v>189</v>
      </c>
      <c r="B105" s="46">
        <v>2.9434927799999997</v>
      </c>
      <c r="C105" s="149">
        <f t="shared" si="3"/>
        <v>5.8682800250902986E-2</v>
      </c>
      <c r="D105" s="46" t="s">
        <v>24</v>
      </c>
      <c r="E105" s="46">
        <v>21.453559719999998</v>
      </c>
      <c r="F105" s="153">
        <f t="shared" si="4"/>
        <v>0.44844219356509729</v>
      </c>
      <c r="R105" s="18"/>
      <c r="S105" s="18"/>
      <c r="U105" s="18"/>
    </row>
    <row r="106" spans="1:21" x14ac:dyDescent="0.25">
      <c r="A106" s="57" t="s">
        <v>171</v>
      </c>
      <c r="B106" s="46">
        <v>2.5334996000000003</v>
      </c>
      <c r="C106" s="149">
        <f t="shared" si="3"/>
        <v>5.0508991213677322E-2</v>
      </c>
      <c r="D106" s="46" t="s">
        <v>207</v>
      </c>
      <c r="E106" s="46">
        <v>21.04964202</v>
      </c>
      <c r="F106" s="153">
        <f t="shared" si="4"/>
        <v>0.43999913135202756</v>
      </c>
      <c r="R106" s="18"/>
      <c r="S106" s="18"/>
      <c r="U106" s="18"/>
    </row>
    <row r="107" spans="1:21" x14ac:dyDescent="0.25">
      <c r="A107" s="57" t="s">
        <v>131</v>
      </c>
      <c r="B107" s="46">
        <v>2.4684173899999999</v>
      </c>
      <c r="C107" s="149">
        <f t="shared" si="3"/>
        <v>4.9211482908147405E-2</v>
      </c>
      <c r="D107" s="46" t="s">
        <v>200</v>
      </c>
      <c r="E107" s="46">
        <v>19.837058489999997</v>
      </c>
      <c r="F107" s="153">
        <f t="shared" si="4"/>
        <v>0.41465258629511653</v>
      </c>
      <c r="R107" s="18"/>
      <c r="S107" s="18"/>
      <c r="U107" s="18"/>
    </row>
    <row r="108" spans="1:21" x14ac:dyDescent="0.25">
      <c r="A108" s="57" t="s">
        <v>176</v>
      </c>
      <c r="B108" s="46">
        <v>2.3582710699999998</v>
      </c>
      <c r="C108" s="149">
        <f t="shared" si="3"/>
        <v>4.7015556171431563E-2</v>
      </c>
      <c r="D108" s="46" t="s">
        <v>198</v>
      </c>
      <c r="E108" s="46">
        <v>19.369125789999998</v>
      </c>
      <c r="F108" s="153">
        <f t="shared" si="4"/>
        <v>0.40487142320761199</v>
      </c>
      <c r="R108" s="18"/>
      <c r="S108" s="18"/>
      <c r="U108" s="18"/>
    </row>
    <row r="109" spans="1:21" x14ac:dyDescent="0.25">
      <c r="A109" s="57" t="s">
        <v>118</v>
      </c>
      <c r="B109" s="46">
        <v>2.1307848199999997</v>
      </c>
      <c r="C109" s="149">
        <f t="shared" si="3"/>
        <v>4.2480287643075605E-2</v>
      </c>
      <c r="D109" s="46" t="s">
        <v>204</v>
      </c>
      <c r="E109" s="46">
        <v>19.01176259</v>
      </c>
      <c r="F109" s="153">
        <f t="shared" si="4"/>
        <v>0.39740148631140348</v>
      </c>
      <c r="R109" s="18"/>
      <c r="S109" s="18"/>
      <c r="U109" s="18"/>
    </row>
    <row r="110" spans="1:21" x14ac:dyDescent="0.25">
      <c r="A110" s="57" t="s">
        <v>40</v>
      </c>
      <c r="B110" s="46">
        <v>2.1214780000000002</v>
      </c>
      <c r="C110" s="149">
        <f t="shared" si="3"/>
        <v>4.2294742680050047E-2</v>
      </c>
      <c r="D110" s="46" t="s">
        <v>79</v>
      </c>
      <c r="E110" s="46">
        <v>18.944570690000003</v>
      </c>
      <c r="F110" s="153">
        <f t="shared" si="4"/>
        <v>0.39599697892805696</v>
      </c>
      <c r="R110" s="18"/>
      <c r="S110" s="18"/>
      <c r="U110" s="18"/>
    </row>
    <row r="111" spans="1:21" x14ac:dyDescent="0.25">
      <c r="A111" s="57" t="s">
        <v>135</v>
      </c>
      <c r="B111" s="46">
        <v>1.8981063300000001</v>
      </c>
      <c r="C111" s="149">
        <f t="shared" si="3"/>
        <v>3.7841504275191243E-2</v>
      </c>
      <c r="D111" s="46" t="s">
        <v>192</v>
      </c>
      <c r="E111" s="46">
        <v>18.696668039999999</v>
      </c>
      <c r="F111" s="153">
        <f t="shared" si="4"/>
        <v>0.39081508792220371</v>
      </c>
      <c r="R111" s="18"/>
      <c r="S111" s="18"/>
      <c r="U111" s="18"/>
    </row>
    <row r="112" spans="1:21" x14ac:dyDescent="0.25">
      <c r="A112" s="57" t="s">
        <v>81</v>
      </c>
      <c r="B112" s="46">
        <v>1.88614009</v>
      </c>
      <c r="C112" s="149">
        <f t="shared" si="3"/>
        <v>3.7602939915038686E-2</v>
      </c>
      <c r="D112" s="46" t="s">
        <v>191</v>
      </c>
      <c r="E112" s="46">
        <v>18.293910019999998</v>
      </c>
      <c r="F112" s="153">
        <f t="shared" si="4"/>
        <v>0.38239626641556307</v>
      </c>
      <c r="R112" s="18"/>
      <c r="S112" s="18"/>
      <c r="U112" s="18"/>
    </row>
    <row r="113" spans="1:21" x14ac:dyDescent="0.25">
      <c r="A113" s="57" t="s">
        <v>174</v>
      </c>
      <c r="B113" s="46">
        <v>1.7413934099999999</v>
      </c>
      <c r="C113" s="149">
        <f t="shared" ref="C113:C176" si="5">(B113/$B$294)*100</f>
        <v>3.4717204788682648E-2</v>
      </c>
      <c r="D113" s="46" t="s">
        <v>89</v>
      </c>
      <c r="E113" s="46">
        <v>18.282106350000003</v>
      </c>
      <c r="F113" s="153">
        <f t="shared" ref="F113:F176" si="6">(E113/$E$294)*100</f>
        <v>0.38214953516275463</v>
      </c>
      <c r="R113" s="18"/>
      <c r="S113" s="18"/>
      <c r="U113" s="18"/>
    </row>
    <row r="114" spans="1:21" x14ac:dyDescent="0.25">
      <c r="A114" s="57" t="s">
        <v>38</v>
      </c>
      <c r="B114" s="46">
        <v>1.7183077499999999</v>
      </c>
      <c r="C114" s="149">
        <f t="shared" si="5"/>
        <v>3.4256958654007144E-2</v>
      </c>
      <c r="D114" s="46" t="s">
        <v>158</v>
      </c>
      <c r="E114" s="46">
        <v>18.239371300000002</v>
      </c>
      <c r="F114" s="153">
        <f t="shared" si="6"/>
        <v>0.38125624753057447</v>
      </c>
      <c r="R114" s="18"/>
      <c r="S114" s="18"/>
      <c r="U114" s="18"/>
    </row>
    <row r="115" spans="1:21" x14ac:dyDescent="0.25">
      <c r="A115" s="57" t="s">
        <v>20</v>
      </c>
      <c r="B115" s="46">
        <v>1.6362203700000002</v>
      </c>
      <c r="C115" s="149">
        <f t="shared" si="5"/>
        <v>3.2620427606134164E-2</v>
      </c>
      <c r="D115" s="46" t="s">
        <v>350</v>
      </c>
      <c r="E115" s="46">
        <v>17.528731879999999</v>
      </c>
      <c r="F115" s="153">
        <f t="shared" si="6"/>
        <v>0.36640180358290919</v>
      </c>
      <c r="R115" s="18"/>
      <c r="S115" s="18"/>
      <c r="U115" s="18"/>
    </row>
    <row r="116" spans="1:21" x14ac:dyDescent="0.25">
      <c r="A116" s="57" t="s">
        <v>105</v>
      </c>
      <c r="B116" s="46">
        <v>1.6076641399999998</v>
      </c>
      <c r="C116" s="149">
        <f t="shared" si="5"/>
        <v>3.2051117719459711E-2</v>
      </c>
      <c r="D116" s="46" t="s">
        <v>162</v>
      </c>
      <c r="E116" s="46">
        <v>17.47572731</v>
      </c>
      <c r="F116" s="153">
        <f t="shared" si="6"/>
        <v>0.36529385292343819</v>
      </c>
      <c r="R116" s="18"/>
      <c r="S116" s="18"/>
      <c r="U116" s="18"/>
    </row>
    <row r="117" spans="1:21" x14ac:dyDescent="0.25">
      <c r="A117" s="57" t="s">
        <v>87</v>
      </c>
      <c r="B117" s="46">
        <v>1.5931737699999999</v>
      </c>
      <c r="C117" s="149">
        <f t="shared" si="5"/>
        <v>3.1762231164666914E-2</v>
      </c>
      <c r="D117" s="46" t="s">
        <v>116</v>
      </c>
      <c r="E117" s="46">
        <v>16.466791300000001</v>
      </c>
      <c r="F117" s="153">
        <f t="shared" si="6"/>
        <v>0.34420413711886605</v>
      </c>
      <c r="R117" s="18"/>
      <c r="S117" s="18"/>
      <c r="U117" s="18"/>
    </row>
    <row r="118" spans="1:21" x14ac:dyDescent="0.25">
      <c r="A118" s="57" t="s">
        <v>180</v>
      </c>
      <c r="B118" s="46">
        <v>1.5430561100000002</v>
      </c>
      <c r="C118" s="149">
        <f t="shared" si="5"/>
        <v>3.0763062880373497E-2</v>
      </c>
      <c r="D118" s="46" t="s">
        <v>39</v>
      </c>
      <c r="E118" s="46">
        <v>16.460977060000001</v>
      </c>
      <c r="F118" s="153">
        <f t="shared" si="6"/>
        <v>0.34408260248435579</v>
      </c>
      <c r="R118" s="18"/>
      <c r="S118" s="18"/>
      <c r="U118" s="18"/>
    </row>
    <row r="119" spans="1:21" x14ac:dyDescent="0.25">
      <c r="A119" s="57" t="s">
        <v>215</v>
      </c>
      <c r="B119" s="46">
        <v>1.5401976899999998</v>
      </c>
      <c r="C119" s="149">
        <f t="shared" si="5"/>
        <v>3.0706076129451962E-2</v>
      </c>
      <c r="D119" s="46" t="s">
        <v>124</v>
      </c>
      <c r="E119" s="46">
        <v>16.281272789999999</v>
      </c>
      <c r="F119" s="153">
        <f t="shared" si="6"/>
        <v>0.34032625723985599</v>
      </c>
      <c r="R119" s="18"/>
      <c r="S119" s="18"/>
      <c r="U119" s="18"/>
    </row>
    <row r="120" spans="1:21" x14ac:dyDescent="0.25">
      <c r="A120" s="57" t="s">
        <v>90</v>
      </c>
      <c r="B120" s="46">
        <v>1.3325804299999999</v>
      </c>
      <c r="C120" s="149">
        <f t="shared" si="5"/>
        <v>2.6566924751197252E-2</v>
      </c>
      <c r="D120" s="46" t="s">
        <v>101</v>
      </c>
      <c r="E120" s="46">
        <v>16.118390959999999</v>
      </c>
      <c r="F120" s="153">
        <f t="shared" si="6"/>
        <v>0.33692155023130282</v>
      </c>
      <c r="R120" s="18"/>
      <c r="S120" s="18"/>
      <c r="U120" s="18"/>
    </row>
    <row r="121" spans="1:21" x14ac:dyDescent="0.25">
      <c r="A121" s="57" t="s">
        <v>163</v>
      </c>
      <c r="B121" s="46">
        <v>1.2332971000000001</v>
      </c>
      <c r="C121" s="149">
        <f t="shared" si="5"/>
        <v>2.4587567484815755E-2</v>
      </c>
      <c r="D121" s="46" t="s">
        <v>38</v>
      </c>
      <c r="E121" s="46">
        <v>15.88616305</v>
      </c>
      <c r="F121" s="153">
        <f t="shared" si="6"/>
        <v>0.33206730717203314</v>
      </c>
      <c r="R121" s="18"/>
      <c r="S121" s="18"/>
      <c r="U121" s="18"/>
    </row>
    <row r="122" spans="1:21" x14ac:dyDescent="0.25">
      <c r="A122" s="57" t="s">
        <v>37</v>
      </c>
      <c r="B122" s="46">
        <v>1.13852</v>
      </c>
      <c r="C122" s="149">
        <f t="shared" si="5"/>
        <v>2.2698048453055172E-2</v>
      </c>
      <c r="D122" s="46" t="s">
        <v>92</v>
      </c>
      <c r="E122" s="46">
        <v>15.433532919999999</v>
      </c>
      <c r="F122" s="153">
        <f t="shared" si="6"/>
        <v>0.32260601258875565</v>
      </c>
      <c r="R122" s="18"/>
      <c r="S122" s="18"/>
      <c r="U122" s="18"/>
    </row>
    <row r="123" spans="1:21" x14ac:dyDescent="0.25">
      <c r="A123" s="57" t="s">
        <v>75</v>
      </c>
      <c r="B123" s="46">
        <v>1.12398485</v>
      </c>
      <c r="C123" s="149">
        <f t="shared" si="5"/>
        <v>2.2408269143976346E-2</v>
      </c>
      <c r="D123" s="46" t="s">
        <v>133</v>
      </c>
      <c r="E123" s="46">
        <v>15.28639697</v>
      </c>
      <c r="F123" s="153">
        <f t="shared" si="6"/>
        <v>0.31953044056101554</v>
      </c>
      <c r="R123" s="18"/>
      <c r="S123" s="18"/>
      <c r="U123" s="18"/>
    </row>
    <row r="124" spans="1:21" x14ac:dyDescent="0.25">
      <c r="A124" s="57" t="s">
        <v>103</v>
      </c>
      <c r="B124" s="46">
        <v>1.1118409499999999</v>
      </c>
      <c r="C124" s="149">
        <f t="shared" si="5"/>
        <v>2.2166162873898474E-2</v>
      </c>
      <c r="D124" s="46" t="s">
        <v>4</v>
      </c>
      <c r="E124" s="46">
        <v>14.678839609999999</v>
      </c>
      <c r="F124" s="153">
        <f t="shared" si="6"/>
        <v>0.30683071339261353</v>
      </c>
      <c r="R124" s="18"/>
      <c r="S124" s="18"/>
      <c r="U124" s="18"/>
    </row>
    <row r="125" spans="1:21" x14ac:dyDescent="0.25">
      <c r="A125" s="57" t="s">
        <v>106</v>
      </c>
      <c r="B125" s="46">
        <v>1.10811536</v>
      </c>
      <c r="C125" s="149">
        <f t="shared" si="5"/>
        <v>2.2091887830564833E-2</v>
      </c>
      <c r="D125" s="46" t="s">
        <v>112</v>
      </c>
      <c r="E125" s="46">
        <v>14.305621589999999</v>
      </c>
      <c r="F125" s="153">
        <f t="shared" si="6"/>
        <v>0.29902936435072019</v>
      </c>
      <c r="R125" s="18"/>
      <c r="S125" s="18"/>
      <c r="U125" s="18"/>
    </row>
    <row r="126" spans="1:21" x14ac:dyDescent="0.25">
      <c r="A126" s="57" t="s">
        <v>155</v>
      </c>
      <c r="B126" s="46">
        <v>1.0662288200000001</v>
      </c>
      <c r="C126" s="149">
        <f t="shared" si="5"/>
        <v>2.1256818868710118E-2</v>
      </c>
      <c r="D126" s="46" t="s">
        <v>19</v>
      </c>
      <c r="E126" s="46">
        <v>13.953938470000001</v>
      </c>
      <c r="F126" s="153">
        <f t="shared" si="6"/>
        <v>0.2916781577523303</v>
      </c>
      <c r="R126" s="18"/>
      <c r="S126" s="18"/>
      <c r="U126" s="18"/>
    </row>
    <row r="127" spans="1:21" x14ac:dyDescent="0.25">
      <c r="A127" s="57" t="s">
        <v>83</v>
      </c>
      <c r="B127" s="46">
        <v>1.00985328</v>
      </c>
      <c r="C127" s="149">
        <f t="shared" si="5"/>
        <v>2.0132890665000781E-2</v>
      </c>
      <c r="D127" s="46" t="s">
        <v>135</v>
      </c>
      <c r="E127" s="46">
        <v>13.708068119999998</v>
      </c>
      <c r="F127" s="153">
        <f t="shared" si="6"/>
        <v>0.28653874776509952</v>
      </c>
      <c r="R127" s="18"/>
      <c r="S127" s="18"/>
      <c r="U127" s="18"/>
    </row>
    <row r="128" spans="1:21" x14ac:dyDescent="0.25">
      <c r="A128" s="57" t="s">
        <v>209</v>
      </c>
      <c r="B128" s="46">
        <v>0.93977100000000002</v>
      </c>
      <c r="C128" s="149">
        <f t="shared" si="5"/>
        <v>1.8735698707775104E-2</v>
      </c>
      <c r="D128" s="46" t="s">
        <v>103</v>
      </c>
      <c r="E128" s="46">
        <v>13.692274769999999</v>
      </c>
      <c r="F128" s="153">
        <f t="shared" si="6"/>
        <v>0.28620862052233997</v>
      </c>
      <c r="R128" s="18"/>
      <c r="S128" s="18"/>
      <c r="U128" s="18"/>
    </row>
    <row r="129" spans="1:21" x14ac:dyDescent="0.25">
      <c r="A129" s="57" t="s">
        <v>94</v>
      </c>
      <c r="B129" s="46">
        <v>0.93589500000000003</v>
      </c>
      <c r="C129" s="149">
        <f t="shared" si="5"/>
        <v>1.8658425022812133E-2</v>
      </c>
      <c r="D129" s="46" t="s">
        <v>202</v>
      </c>
      <c r="E129" s="46">
        <v>13.459272140000001</v>
      </c>
      <c r="F129" s="153">
        <f t="shared" si="6"/>
        <v>0.28133818354743428</v>
      </c>
      <c r="R129" s="18"/>
      <c r="S129" s="18"/>
      <c r="U129" s="18"/>
    </row>
    <row r="130" spans="1:21" x14ac:dyDescent="0.25">
      <c r="A130" s="57" t="s">
        <v>175</v>
      </c>
      <c r="B130" s="46">
        <v>0.770868</v>
      </c>
      <c r="C130" s="149">
        <f t="shared" si="5"/>
        <v>1.5368372285870898E-2</v>
      </c>
      <c r="D130" s="46" t="s">
        <v>156</v>
      </c>
      <c r="E130" s="46">
        <v>13.231040519999999</v>
      </c>
      <c r="F130" s="153">
        <f t="shared" si="6"/>
        <v>0.27656747464646331</v>
      </c>
      <c r="R130" s="18"/>
      <c r="S130" s="18"/>
      <c r="U130" s="18"/>
    </row>
    <row r="131" spans="1:21" x14ac:dyDescent="0.25">
      <c r="A131" s="57" t="s">
        <v>154</v>
      </c>
      <c r="B131" s="46">
        <v>0.66923178999999999</v>
      </c>
      <c r="C131" s="149">
        <f t="shared" si="5"/>
        <v>1.3342106942122092E-2</v>
      </c>
      <c r="D131" s="46" t="s">
        <v>134</v>
      </c>
      <c r="E131" s="46">
        <v>13.118305320000001</v>
      </c>
      <c r="F131" s="153">
        <f t="shared" si="6"/>
        <v>0.27421097898607788</v>
      </c>
      <c r="R131" s="18"/>
      <c r="S131" s="18"/>
      <c r="U131" s="18"/>
    </row>
    <row r="132" spans="1:21" x14ac:dyDescent="0.25">
      <c r="A132" s="57" t="s">
        <v>119</v>
      </c>
      <c r="B132" s="46">
        <v>0.66299769999999991</v>
      </c>
      <c r="C132" s="149">
        <f t="shared" si="5"/>
        <v>1.3217821310880911E-2</v>
      </c>
      <c r="D132" s="46" t="s">
        <v>193</v>
      </c>
      <c r="E132" s="46">
        <v>12.29936678</v>
      </c>
      <c r="F132" s="153">
        <f t="shared" si="6"/>
        <v>0.25709276643460865</v>
      </c>
      <c r="R132" s="18"/>
      <c r="S132" s="18"/>
      <c r="U132" s="18"/>
    </row>
    <row r="133" spans="1:21" x14ac:dyDescent="0.25">
      <c r="A133" s="57" t="s">
        <v>70</v>
      </c>
      <c r="B133" s="46">
        <v>0.60218956999999995</v>
      </c>
      <c r="C133" s="149">
        <f t="shared" si="5"/>
        <v>1.2005522992819149E-2</v>
      </c>
      <c r="D133" s="46" t="s">
        <v>8</v>
      </c>
      <c r="E133" s="46">
        <v>11.97673473</v>
      </c>
      <c r="F133" s="153">
        <f t="shared" si="6"/>
        <v>0.25034881223284861</v>
      </c>
      <c r="R133" s="18"/>
      <c r="S133" s="18"/>
      <c r="U133" s="18"/>
    </row>
    <row r="134" spans="1:21" x14ac:dyDescent="0.25">
      <c r="A134" s="57" t="s">
        <v>354</v>
      </c>
      <c r="B134" s="46">
        <v>0.52759999999999996</v>
      </c>
      <c r="C134" s="149">
        <f t="shared" si="5"/>
        <v>1.0518471668334247E-2</v>
      </c>
      <c r="D134" s="46" t="s">
        <v>165</v>
      </c>
      <c r="E134" s="46">
        <v>11.81467419</v>
      </c>
      <c r="F134" s="153">
        <f t="shared" si="6"/>
        <v>0.24696127258924372</v>
      </c>
      <c r="R134" s="18"/>
      <c r="S134" s="18"/>
      <c r="U134" s="18"/>
    </row>
    <row r="135" spans="1:21" x14ac:dyDescent="0.25">
      <c r="A135" s="57" t="s">
        <v>29</v>
      </c>
      <c r="B135" s="46">
        <v>0.52372542</v>
      </c>
      <c r="C135" s="149">
        <f t="shared" si="5"/>
        <v>1.0441226293132022E-2</v>
      </c>
      <c r="D135" s="46" t="s">
        <v>144</v>
      </c>
      <c r="E135" s="46">
        <v>11.616469070000001</v>
      </c>
      <c r="F135" s="153">
        <f t="shared" si="6"/>
        <v>0.2428182054270249</v>
      </c>
      <c r="R135" s="18"/>
      <c r="S135" s="18"/>
      <c r="U135" s="18"/>
    </row>
    <row r="136" spans="1:21" x14ac:dyDescent="0.25">
      <c r="A136" s="57" t="s">
        <v>156</v>
      </c>
      <c r="B136" s="46">
        <v>0.48440368</v>
      </c>
      <c r="C136" s="149">
        <f t="shared" si="5"/>
        <v>9.6572903413890236E-3</v>
      </c>
      <c r="D136" s="46" t="s">
        <v>90</v>
      </c>
      <c r="E136" s="46">
        <v>11.471755079999999</v>
      </c>
      <c r="F136" s="153">
        <f t="shared" si="6"/>
        <v>0.23979325945245739</v>
      </c>
      <c r="R136" s="18"/>
      <c r="S136" s="18"/>
      <c r="U136" s="18"/>
    </row>
    <row r="137" spans="1:21" x14ac:dyDescent="0.25">
      <c r="A137" s="57" t="s">
        <v>102</v>
      </c>
      <c r="B137" s="46">
        <v>0.48391318999999999</v>
      </c>
      <c r="C137" s="149">
        <f t="shared" si="5"/>
        <v>9.6475117114257925E-3</v>
      </c>
      <c r="D137" s="46" t="s">
        <v>104</v>
      </c>
      <c r="E137" s="46">
        <v>11.4382597</v>
      </c>
      <c r="F137" s="153">
        <f t="shared" si="6"/>
        <v>0.23909310796815644</v>
      </c>
      <c r="R137" s="18"/>
      <c r="S137" s="18"/>
      <c r="U137" s="18"/>
    </row>
    <row r="138" spans="1:21" x14ac:dyDescent="0.25">
      <c r="A138" s="57" t="s">
        <v>76</v>
      </c>
      <c r="B138" s="46">
        <v>0.48292439000000004</v>
      </c>
      <c r="C138" s="149">
        <f t="shared" si="5"/>
        <v>9.6277985484507188E-3</v>
      </c>
      <c r="D138" s="46" t="s">
        <v>384</v>
      </c>
      <c r="E138" s="46">
        <v>11.108460300000001</v>
      </c>
      <c r="F138" s="153">
        <f t="shared" si="6"/>
        <v>0.23219933517227972</v>
      </c>
      <c r="R138" s="18"/>
      <c r="S138" s="18"/>
      <c r="U138" s="18"/>
    </row>
    <row r="139" spans="1:21" x14ac:dyDescent="0.25">
      <c r="A139" s="57" t="s">
        <v>185</v>
      </c>
      <c r="B139" s="46">
        <v>0.48045803999999998</v>
      </c>
      <c r="C139" s="149">
        <f t="shared" si="5"/>
        <v>9.5786282819624764E-3</v>
      </c>
      <c r="D139" s="46" t="s">
        <v>160</v>
      </c>
      <c r="E139" s="46">
        <v>10.988603640000001</v>
      </c>
      <c r="F139" s="153">
        <f t="shared" si="6"/>
        <v>0.22969398015309944</v>
      </c>
      <c r="R139" s="18"/>
      <c r="S139" s="18"/>
      <c r="U139" s="18"/>
    </row>
    <row r="140" spans="1:21" x14ac:dyDescent="0.25">
      <c r="A140" s="57" t="s">
        <v>200</v>
      </c>
      <c r="B140" s="46">
        <v>0.47547977000000002</v>
      </c>
      <c r="C140" s="149">
        <f t="shared" si="5"/>
        <v>9.4793792449034964E-3</v>
      </c>
      <c r="D140" s="46" t="s">
        <v>93</v>
      </c>
      <c r="E140" s="46">
        <v>10.57571016</v>
      </c>
      <c r="F140" s="153">
        <f t="shared" si="6"/>
        <v>0.22106329786556683</v>
      </c>
      <c r="R140" s="18"/>
      <c r="S140" s="18"/>
      <c r="U140" s="18"/>
    </row>
    <row r="141" spans="1:21" x14ac:dyDescent="0.25">
      <c r="A141" s="57" t="s">
        <v>19</v>
      </c>
      <c r="B141" s="46">
        <v>0.46428963000000001</v>
      </c>
      <c r="C141" s="149">
        <f t="shared" si="5"/>
        <v>9.2562875645496416E-3</v>
      </c>
      <c r="D141" s="46" t="s">
        <v>137</v>
      </c>
      <c r="E141" s="46">
        <v>10.37704205</v>
      </c>
      <c r="F141" s="153">
        <f t="shared" si="6"/>
        <v>0.21691055285715793</v>
      </c>
      <c r="R141" s="18"/>
      <c r="S141" s="18"/>
      <c r="U141" s="18"/>
    </row>
    <row r="142" spans="1:21" x14ac:dyDescent="0.25">
      <c r="A142" s="57" t="s">
        <v>137</v>
      </c>
      <c r="B142" s="46">
        <v>0.45853926</v>
      </c>
      <c r="C142" s="149">
        <f t="shared" si="5"/>
        <v>9.1416455934968752E-3</v>
      </c>
      <c r="D142" s="46" t="s">
        <v>142</v>
      </c>
      <c r="E142" s="46">
        <v>10.36599685</v>
      </c>
      <c r="F142" s="153">
        <f t="shared" si="6"/>
        <v>0.21667967584742109</v>
      </c>
      <c r="R142" s="18"/>
      <c r="S142" s="18"/>
      <c r="U142" s="18"/>
    </row>
    <row r="143" spans="1:21" x14ac:dyDescent="0.25">
      <c r="A143" s="57" t="s">
        <v>214</v>
      </c>
      <c r="B143" s="46">
        <v>0.45754075</v>
      </c>
      <c r="C143" s="149">
        <f t="shared" si="5"/>
        <v>9.1217388475803695E-3</v>
      </c>
      <c r="D143" s="46" t="s">
        <v>381</v>
      </c>
      <c r="E143" s="46">
        <v>9.9218676300000013</v>
      </c>
      <c r="F143" s="153">
        <f t="shared" si="6"/>
        <v>0.20739607516564318</v>
      </c>
      <c r="R143" s="18"/>
      <c r="S143" s="18"/>
      <c r="U143" s="18"/>
    </row>
    <row r="144" spans="1:21" x14ac:dyDescent="0.25">
      <c r="A144" s="57" t="s">
        <v>60</v>
      </c>
      <c r="B144" s="46">
        <v>0.43572290000000002</v>
      </c>
      <c r="C144" s="149">
        <f t="shared" si="5"/>
        <v>8.6867683451372947E-3</v>
      </c>
      <c r="D144" s="46" t="s">
        <v>64</v>
      </c>
      <c r="E144" s="46">
        <v>9.4682354199999992</v>
      </c>
      <c r="F144" s="153">
        <f t="shared" si="6"/>
        <v>0.1979138341772379</v>
      </c>
      <c r="R144" s="18"/>
      <c r="S144" s="18"/>
      <c r="U144" s="18"/>
    </row>
    <row r="145" spans="1:21" x14ac:dyDescent="0.25">
      <c r="A145" s="57" t="s">
        <v>4</v>
      </c>
      <c r="B145" s="46">
        <v>0.42461129999999997</v>
      </c>
      <c r="C145" s="149">
        <f t="shared" si="5"/>
        <v>8.4652424736629522E-3</v>
      </c>
      <c r="D145" s="46" t="s">
        <v>132</v>
      </c>
      <c r="E145" s="46">
        <v>9.4111236400000013</v>
      </c>
      <c r="F145" s="153">
        <f t="shared" si="6"/>
        <v>0.19672003080680095</v>
      </c>
      <c r="R145" s="18"/>
      <c r="S145" s="18"/>
      <c r="U145" s="18"/>
    </row>
    <row r="146" spans="1:21" x14ac:dyDescent="0.25">
      <c r="A146" s="57" t="s">
        <v>142</v>
      </c>
      <c r="B146" s="46">
        <v>0.40562205000000001</v>
      </c>
      <c r="C146" s="149">
        <f t="shared" si="5"/>
        <v>8.0866642171657649E-3</v>
      </c>
      <c r="D146" s="46" t="s">
        <v>86</v>
      </c>
      <c r="E146" s="46">
        <v>9.1836009999999995</v>
      </c>
      <c r="F146" s="153">
        <f t="shared" si="6"/>
        <v>0.19196414166304246</v>
      </c>
      <c r="R146" s="18"/>
      <c r="S146" s="18"/>
      <c r="U146" s="18"/>
    </row>
    <row r="147" spans="1:21" x14ac:dyDescent="0.25">
      <c r="A147" s="57" t="s">
        <v>5</v>
      </c>
      <c r="B147" s="46">
        <v>0.39674843999999998</v>
      </c>
      <c r="C147" s="149">
        <f t="shared" si="5"/>
        <v>7.9097559241770483E-3</v>
      </c>
      <c r="D147" s="46" t="s">
        <v>100</v>
      </c>
      <c r="E147" s="46">
        <v>8.91941703</v>
      </c>
      <c r="F147" s="153">
        <f t="shared" si="6"/>
        <v>0.1864419234131223</v>
      </c>
      <c r="R147" s="18"/>
      <c r="S147" s="18"/>
      <c r="U147" s="18"/>
    </row>
    <row r="148" spans="1:21" x14ac:dyDescent="0.25">
      <c r="A148" s="57" t="s">
        <v>152</v>
      </c>
      <c r="B148" s="46">
        <v>0.36438395000000001</v>
      </c>
      <c r="C148" s="149">
        <f t="shared" si="5"/>
        <v>7.2645228477458751E-3</v>
      </c>
      <c r="D148" s="46" t="s">
        <v>23</v>
      </c>
      <c r="E148" s="46">
        <v>8.8110318599999999</v>
      </c>
      <c r="F148" s="153">
        <f t="shared" si="6"/>
        <v>0.18417635611244659</v>
      </c>
      <c r="R148" s="18"/>
      <c r="S148" s="18"/>
      <c r="U148" s="18"/>
    </row>
    <row r="149" spans="1:21" x14ac:dyDescent="0.25">
      <c r="A149" s="57" t="s">
        <v>129</v>
      </c>
      <c r="B149" s="46">
        <v>0.35832468000000001</v>
      </c>
      <c r="C149" s="149">
        <f t="shared" si="5"/>
        <v>7.1437225069085212E-3</v>
      </c>
      <c r="D149" s="46" t="s">
        <v>166</v>
      </c>
      <c r="E149" s="46">
        <v>8.75507116</v>
      </c>
      <c r="F149" s="153">
        <f t="shared" si="6"/>
        <v>0.18300661368326623</v>
      </c>
      <c r="R149" s="18"/>
      <c r="S149" s="18"/>
      <c r="U149" s="18"/>
    </row>
    <row r="150" spans="1:21" x14ac:dyDescent="0.25">
      <c r="A150" s="57" t="s">
        <v>158</v>
      </c>
      <c r="B150" s="46">
        <v>0.32709800999999999</v>
      </c>
      <c r="C150" s="149">
        <f t="shared" si="5"/>
        <v>6.5211735234145425E-3</v>
      </c>
      <c r="D150" s="46" t="s">
        <v>377</v>
      </c>
      <c r="E150" s="46">
        <v>8.5455662500000003</v>
      </c>
      <c r="F150" s="153">
        <f t="shared" si="6"/>
        <v>0.1786273478351155</v>
      </c>
      <c r="R150" s="18"/>
      <c r="S150" s="18"/>
      <c r="U150" s="18"/>
    </row>
    <row r="151" spans="1:21" x14ac:dyDescent="0.25">
      <c r="A151" s="57" t="s">
        <v>72</v>
      </c>
      <c r="B151" s="46">
        <v>0.31324667</v>
      </c>
      <c r="C151" s="149">
        <f t="shared" si="5"/>
        <v>6.2450269590505073E-3</v>
      </c>
      <c r="D151" s="46" t="s">
        <v>59</v>
      </c>
      <c r="E151" s="46">
        <v>8.5267785399999987</v>
      </c>
      <c r="F151" s="153">
        <f t="shared" si="6"/>
        <v>0.17823462970374587</v>
      </c>
      <c r="R151" s="18"/>
      <c r="S151" s="18"/>
      <c r="U151" s="18"/>
    </row>
    <row r="152" spans="1:21" x14ac:dyDescent="0.25">
      <c r="A152" s="57" t="s">
        <v>144</v>
      </c>
      <c r="B152" s="46">
        <v>0.30647993000000001</v>
      </c>
      <c r="C152" s="149">
        <f t="shared" si="5"/>
        <v>6.1101221770622884E-3</v>
      </c>
      <c r="D152" s="46" t="s">
        <v>194</v>
      </c>
      <c r="E152" s="46">
        <v>8.498737349999999</v>
      </c>
      <c r="F152" s="153">
        <f t="shared" si="6"/>
        <v>0.17764848675507461</v>
      </c>
      <c r="R152" s="18"/>
      <c r="S152" s="18"/>
      <c r="U152" s="18"/>
    </row>
    <row r="153" spans="1:21" x14ac:dyDescent="0.25">
      <c r="A153" s="57" t="s">
        <v>195</v>
      </c>
      <c r="B153" s="46">
        <v>0.26832675</v>
      </c>
      <c r="C153" s="149">
        <f t="shared" si="5"/>
        <v>5.349483164767261E-3</v>
      </c>
      <c r="D153" s="46" t="s">
        <v>197</v>
      </c>
      <c r="E153" s="46">
        <v>8.3697219900000199</v>
      </c>
      <c r="F153" s="153">
        <f t="shared" si="6"/>
        <v>0.17495168809801792</v>
      </c>
      <c r="R153" s="18"/>
      <c r="S153" s="18"/>
      <c r="U153" s="18"/>
    </row>
    <row r="154" spans="1:21" x14ac:dyDescent="0.25">
      <c r="A154" s="57" t="s">
        <v>93</v>
      </c>
      <c r="B154" s="46">
        <v>0.26034754999999998</v>
      </c>
      <c r="C154" s="149">
        <f t="shared" si="5"/>
        <v>5.1904062331221265E-3</v>
      </c>
      <c r="D154" s="46" t="s">
        <v>210</v>
      </c>
      <c r="E154" s="46">
        <v>8.2670661599999899</v>
      </c>
      <c r="F154" s="153">
        <f t="shared" si="6"/>
        <v>0.17280588077334616</v>
      </c>
      <c r="R154" s="18"/>
      <c r="S154" s="18"/>
      <c r="U154" s="18"/>
    </row>
    <row r="155" spans="1:21" x14ac:dyDescent="0.25">
      <c r="A155" s="57" t="s">
        <v>166</v>
      </c>
      <c r="B155" s="46">
        <v>0.25544804999999998</v>
      </c>
      <c r="C155" s="149">
        <f t="shared" si="5"/>
        <v>5.0927275903264405E-3</v>
      </c>
      <c r="D155" s="46" t="s">
        <v>188</v>
      </c>
      <c r="E155" s="46">
        <v>8.2593801100000004</v>
      </c>
      <c r="F155" s="153">
        <f t="shared" si="6"/>
        <v>0.17264521983097428</v>
      </c>
      <c r="R155" s="18"/>
      <c r="S155" s="18"/>
      <c r="U155" s="18"/>
    </row>
    <row r="156" spans="1:21" x14ac:dyDescent="0.25">
      <c r="A156" s="57" t="s">
        <v>207</v>
      </c>
      <c r="B156" s="46">
        <v>0.25382057000000002</v>
      </c>
      <c r="C156" s="149">
        <f t="shared" si="5"/>
        <v>5.0602814146805345E-3</v>
      </c>
      <c r="D156" s="46" t="s">
        <v>117</v>
      </c>
      <c r="E156" s="46">
        <v>8.1946793300000103</v>
      </c>
      <c r="F156" s="153">
        <f t="shared" si="6"/>
        <v>0.17129278414723459</v>
      </c>
      <c r="R156" s="18"/>
      <c r="S156" s="18"/>
      <c r="U156" s="18"/>
    </row>
    <row r="157" spans="1:21" x14ac:dyDescent="0.25">
      <c r="A157" s="57" t="s">
        <v>164</v>
      </c>
      <c r="B157" s="46">
        <v>0.24505222000000002</v>
      </c>
      <c r="C157" s="149">
        <f t="shared" si="5"/>
        <v>4.8854716325481638E-3</v>
      </c>
      <c r="D157" s="46" t="s">
        <v>63</v>
      </c>
      <c r="E157" s="46">
        <v>7.7505235199999998</v>
      </c>
      <c r="F157" s="153">
        <f t="shared" si="6"/>
        <v>0.16200862765662646</v>
      </c>
      <c r="R157" s="18"/>
      <c r="S157" s="18"/>
      <c r="U157" s="18"/>
    </row>
    <row r="158" spans="1:21" x14ac:dyDescent="0.25">
      <c r="A158" s="57" t="s">
        <v>182</v>
      </c>
      <c r="B158" s="46">
        <v>0.23186410000000002</v>
      </c>
      <c r="C158" s="149">
        <f t="shared" si="5"/>
        <v>4.6225473213681182E-3</v>
      </c>
      <c r="D158" s="46" t="s">
        <v>168</v>
      </c>
      <c r="E158" s="46">
        <v>7.6528498899999997</v>
      </c>
      <c r="F158" s="153">
        <f t="shared" si="6"/>
        <v>0.15996696289505161</v>
      </c>
      <c r="R158" s="18"/>
      <c r="S158" s="18"/>
      <c r="U158" s="18"/>
    </row>
    <row r="159" spans="1:21" x14ac:dyDescent="0.25">
      <c r="A159" s="57" t="s">
        <v>12</v>
      </c>
      <c r="B159" s="46">
        <v>0.22576228000000001</v>
      </c>
      <c r="C159" s="149">
        <f t="shared" si="5"/>
        <v>4.5008986845309776E-3</v>
      </c>
      <c r="D159" s="46" t="s">
        <v>118</v>
      </c>
      <c r="E159" s="46">
        <v>7.61643048</v>
      </c>
      <c r="F159" s="153">
        <f t="shared" si="6"/>
        <v>0.15920569062499934</v>
      </c>
      <c r="R159" s="18"/>
      <c r="S159" s="18"/>
      <c r="U159" s="18"/>
    </row>
    <row r="160" spans="1:21" x14ac:dyDescent="0.25">
      <c r="A160" s="57" t="s">
        <v>69</v>
      </c>
      <c r="B160" s="46">
        <v>0.21219251</v>
      </c>
      <c r="C160" s="149">
        <f t="shared" si="5"/>
        <v>4.2303656267394458E-3</v>
      </c>
      <c r="D160" s="46" t="s">
        <v>175</v>
      </c>
      <c r="E160" s="46">
        <v>7.2320330799999999</v>
      </c>
      <c r="F160" s="153">
        <f t="shared" si="6"/>
        <v>0.15117065981861902</v>
      </c>
      <c r="R160" s="18"/>
      <c r="S160" s="18"/>
      <c r="U160" s="18"/>
    </row>
    <row r="161" spans="1:21" x14ac:dyDescent="0.25">
      <c r="A161" s="57" t="s">
        <v>112</v>
      </c>
      <c r="B161" s="46">
        <v>0.20617199</v>
      </c>
      <c r="C161" s="149">
        <f t="shared" si="5"/>
        <v>4.1103378233872103E-3</v>
      </c>
      <c r="D161" s="46" t="s">
        <v>11</v>
      </c>
      <c r="E161" s="46">
        <v>6.9765535300000003</v>
      </c>
      <c r="F161" s="153">
        <f t="shared" si="6"/>
        <v>0.14583038942488016</v>
      </c>
      <c r="R161" s="18"/>
      <c r="S161" s="18"/>
      <c r="U161" s="18"/>
    </row>
    <row r="162" spans="1:21" x14ac:dyDescent="0.25">
      <c r="A162" s="57" t="s">
        <v>95</v>
      </c>
      <c r="B162" s="46">
        <v>0.20410043</v>
      </c>
      <c r="C162" s="149">
        <f t="shared" si="5"/>
        <v>4.069038268479601E-3</v>
      </c>
      <c r="D162" s="46" t="s">
        <v>163</v>
      </c>
      <c r="E162" s="46">
        <v>6.9206877899999997</v>
      </c>
      <c r="F162" s="153">
        <f t="shared" si="6"/>
        <v>0.1446626319376515</v>
      </c>
      <c r="R162" s="18"/>
      <c r="S162" s="18"/>
      <c r="U162" s="18"/>
    </row>
    <row r="163" spans="1:21" x14ac:dyDescent="0.25">
      <c r="A163" s="57" t="s">
        <v>165</v>
      </c>
      <c r="B163" s="46">
        <v>0.19456785999999998</v>
      </c>
      <c r="C163" s="149">
        <f t="shared" si="5"/>
        <v>3.878992651589129E-3</v>
      </c>
      <c r="D163" s="46" t="s">
        <v>351</v>
      </c>
      <c r="E163" s="46">
        <v>6.8777660199999993</v>
      </c>
      <c r="F163" s="153">
        <f t="shared" si="6"/>
        <v>0.14376544131093452</v>
      </c>
      <c r="R163" s="18"/>
      <c r="S163" s="18"/>
      <c r="U163" s="18"/>
    </row>
    <row r="164" spans="1:21" x14ac:dyDescent="0.25">
      <c r="A164" s="57" t="s">
        <v>120</v>
      </c>
      <c r="B164" s="46">
        <v>0.19092875000000001</v>
      </c>
      <c r="C164" s="149">
        <f t="shared" si="5"/>
        <v>3.8064417125577574E-3</v>
      </c>
      <c r="D164" s="46" t="s">
        <v>126</v>
      </c>
      <c r="E164" s="46">
        <v>6.7906245599999995</v>
      </c>
      <c r="F164" s="153">
        <f t="shared" si="6"/>
        <v>0.14194392973043746</v>
      </c>
      <c r="R164" s="18"/>
      <c r="S164" s="18"/>
      <c r="U164" s="18"/>
    </row>
    <row r="165" spans="1:21" x14ac:dyDescent="0.25">
      <c r="A165" s="57" t="s">
        <v>74</v>
      </c>
      <c r="B165" s="46">
        <v>0.18918885999999999</v>
      </c>
      <c r="C165" s="149">
        <f t="shared" si="5"/>
        <v>3.7717544804292159E-3</v>
      </c>
      <c r="D165" s="46" t="s">
        <v>95</v>
      </c>
      <c r="E165" s="46">
        <v>6.7500488600000006</v>
      </c>
      <c r="F165" s="153">
        <f t="shared" si="6"/>
        <v>0.14109577883376015</v>
      </c>
      <c r="R165" s="18"/>
      <c r="S165" s="18"/>
      <c r="U165" s="18"/>
    </row>
    <row r="166" spans="1:21" x14ac:dyDescent="0.25">
      <c r="A166" s="57" t="s">
        <v>211</v>
      </c>
      <c r="B166" s="46">
        <v>0.15844637</v>
      </c>
      <c r="C166" s="149">
        <f t="shared" si="5"/>
        <v>3.158858327891216E-3</v>
      </c>
      <c r="D166" s="46" t="s">
        <v>75</v>
      </c>
      <c r="E166" s="46">
        <v>6.71229444</v>
      </c>
      <c r="F166" s="153">
        <f t="shared" si="6"/>
        <v>0.14030660094708081</v>
      </c>
      <c r="R166" s="18"/>
      <c r="S166" s="18"/>
      <c r="U166" s="18"/>
    </row>
    <row r="167" spans="1:21" x14ac:dyDescent="0.25">
      <c r="A167" s="57" t="s">
        <v>132</v>
      </c>
      <c r="B167" s="46">
        <v>0.14937600000000001</v>
      </c>
      <c r="C167" s="149">
        <f t="shared" si="5"/>
        <v>2.9780273387587123E-3</v>
      </c>
      <c r="D167" s="46" t="s">
        <v>123</v>
      </c>
      <c r="E167" s="46">
        <v>6.6718814000000002</v>
      </c>
      <c r="F167" s="153">
        <f t="shared" si="6"/>
        <v>0.13946185012051571</v>
      </c>
      <c r="R167" s="18"/>
      <c r="S167" s="18"/>
      <c r="U167" s="18"/>
    </row>
    <row r="168" spans="1:21" x14ac:dyDescent="0.25">
      <c r="A168" s="57" t="s">
        <v>57</v>
      </c>
      <c r="B168" s="46">
        <v>0.14346575</v>
      </c>
      <c r="C168" s="149">
        <f t="shared" si="5"/>
        <v>2.8601979278834802E-3</v>
      </c>
      <c r="D168" s="46" t="s">
        <v>102</v>
      </c>
      <c r="E168" s="46">
        <v>6.2438407500000004</v>
      </c>
      <c r="F168" s="153">
        <f t="shared" si="6"/>
        <v>0.13051454764361792</v>
      </c>
      <c r="R168" s="18"/>
      <c r="S168" s="18"/>
      <c r="U168" s="18"/>
    </row>
    <row r="169" spans="1:21" x14ac:dyDescent="0.25">
      <c r="A169" s="57" t="s">
        <v>355</v>
      </c>
      <c r="B169" s="46">
        <v>0.14288000000000001</v>
      </c>
      <c r="C169" s="149">
        <f t="shared" si="5"/>
        <v>2.8485201515761893E-3</v>
      </c>
      <c r="D169" s="46" t="s">
        <v>172</v>
      </c>
      <c r="E169" s="46">
        <v>6.0442081200000004</v>
      </c>
      <c r="F169" s="153">
        <f t="shared" si="6"/>
        <v>0.1263416413440209</v>
      </c>
      <c r="R169" s="18"/>
      <c r="S169" s="18"/>
      <c r="U169" s="18"/>
    </row>
    <row r="170" spans="1:21" x14ac:dyDescent="0.25">
      <c r="A170" s="57" t="s">
        <v>134</v>
      </c>
      <c r="B170" s="46">
        <v>0.13974843000000001</v>
      </c>
      <c r="C170" s="149">
        <f t="shared" si="5"/>
        <v>2.7860877590015014E-3</v>
      </c>
      <c r="D170" s="46" t="s">
        <v>375</v>
      </c>
      <c r="E170" s="46">
        <v>5.8687391699999996</v>
      </c>
      <c r="F170" s="153">
        <f t="shared" si="6"/>
        <v>0.12267382668447009</v>
      </c>
      <c r="R170" s="18"/>
      <c r="S170" s="18"/>
      <c r="U170" s="18"/>
    </row>
    <row r="171" spans="1:21" x14ac:dyDescent="0.25">
      <c r="A171" s="57" t="s">
        <v>168</v>
      </c>
      <c r="B171" s="46">
        <v>0.11090633999999999</v>
      </c>
      <c r="C171" s="149">
        <f t="shared" si="5"/>
        <v>2.2110788383787818E-3</v>
      </c>
      <c r="D171" s="46" t="s">
        <v>209</v>
      </c>
      <c r="E171" s="46">
        <v>5.83314004</v>
      </c>
      <c r="F171" s="153">
        <f t="shared" si="6"/>
        <v>0.1219297006674098</v>
      </c>
      <c r="R171" s="18"/>
      <c r="S171" s="18"/>
      <c r="U171" s="18"/>
    </row>
    <row r="172" spans="1:21" x14ac:dyDescent="0.25">
      <c r="A172" s="57" t="s">
        <v>32</v>
      </c>
      <c r="B172" s="46">
        <v>9.6602750000000001E-2</v>
      </c>
      <c r="C172" s="149">
        <f t="shared" si="5"/>
        <v>1.9259160139465056E-3</v>
      </c>
      <c r="D172" s="46" t="s">
        <v>67</v>
      </c>
      <c r="E172" s="46">
        <v>5.6552497300000004</v>
      </c>
      <c r="F172" s="153">
        <f t="shared" si="6"/>
        <v>0.11821127249644259</v>
      </c>
      <c r="R172" s="18"/>
      <c r="S172" s="18"/>
      <c r="U172" s="18"/>
    </row>
    <row r="173" spans="1:21" x14ac:dyDescent="0.25">
      <c r="A173" s="57" t="s">
        <v>82</v>
      </c>
      <c r="B173" s="46">
        <v>9.2499999999999999E-2</v>
      </c>
      <c r="C173" s="149">
        <f t="shared" si="5"/>
        <v>1.8441217386673957E-3</v>
      </c>
      <c r="D173" s="46" t="s">
        <v>187</v>
      </c>
      <c r="E173" s="46">
        <v>5.5599504900000003</v>
      </c>
      <c r="F173" s="153">
        <f t="shared" si="6"/>
        <v>0.11621923943580109</v>
      </c>
      <c r="R173" s="18"/>
      <c r="S173" s="18"/>
      <c r="U173" s="18"/>
    </row>
    <row r="174" spans="1:21" x14ac:dyDescent="0.25">
      <c r="A174" s="57" t="s">
        <v>114</v>
      </c>
      <c r="B174" s="46">
        <v>9.2029039999999993E-2</v>
      </c>
      <c r="C174" s="149">
        <f t="shared" si="5"/>
        <v>1.8347324675966625E-3</v>
      </c>
      <c r="D174" s="46" t="s">
        <v>159</v>
      </c>
      <c r="E174" s="46">
        <v>5.3346099100000002</v>
      </c>
      <c r="F174" s="153">
        <f t="shared" si="6"/>
        <v>0.11150896173301847</v>
      </c>
      <c r="R174" s="18"/>
      <c r="S174" s="18"/>
      <c r="U174" s="18"/>
    </row>
    <row r="175" spans="1:21" x14ac:dyDescent="0.25">
      <c r="A175" s="57" t="s">
        <v>198</v>
      </c>
      <c r="B175" s="46">
        <v>8.9009649999999996E-2</v>
      </c>
      <c r="C175" s="149">
        <f t="shared" si="5"/>
        <v>1.7745365461208254E-3</v>
      </c>
      <c r="D175" s="46" t="s">
        <v>353</v>
      </c>
      <c r="E175" s="46">
        <v>5.0421601300000001</v>
      </c>
      <c r="F175" s="153">
        <f t="shared" si="6"/>
        <v>0.10539590531895544</v>
      </c>
      <c r="R175" s="18"/>
      <c r="S175" s="18"/>
      <c r="U175" s="18"/>
    </row>
    <row r="176" spans="1:21" x14ac:dyDescent="0.25">
      <c r="A176" s="57" t="s">
        <v>16</v>
      </c>
      <c r="B176" s="46">
        <v>8.2253000000000007E-2</v>
      </c>
      <c r="C176" s="149">
        <f t="shared" si="5"/>
        <v>1.6398329229255061E-3</v>
      </c>
      <c r="D176" s="46" t="s">
        <v>88</v>
      </c>
      <c r="E176" s="46">
        <v>4.9123874499999998</v>
      </c>
      <c r="F176" s="153">
        <f t="shared" si="6"/>
        <v>0.10268327645719276</v>
      </c>
      <c r="R176" s="18"/>
      <c r="S176" s="18"/>
      <c r="U176" s="18"/>
    </row>
    <row r="177" spans="1:21" x14ac:dyDescent="0.25">
      <c r="A177" s="57" t="s">
        <v>181</v>
      </c>
      <c r="B177" s="46">
        <v>7.9314399999999993E-2</v>
      </c>
      <c r="C177" s="149">
        <f t="shared" ref="C177:C234" si="7">(B177/$B$294)*100</f>
        <v>1.5812476673444464E-3</v>
      </c>
      <c r="D177" s="46" t="s">
        <v>190</v>
      </c>
      <c r="E177" s="46">
        <v>4.8811108600000006</v>
      </c>
      <c r="F177" s="153">
        <f t="shared" ref="F177:F240" si="8">(E177/$E$294)*100</f>
        <v>0.10202950417837788</v>
      </c>
      <c r="R177" s="18"/>
      <c r="S177" s="18"/>
      <c r="U177" s="18"/>
    </row>
    <row r="178" spans="1:21" x14ac:dyDescent="0.25">
      <c r="A178" s="57" t="s">
        <v>150</v>
      </c>
      <c r="B178" s="46">
        <v>7.7658089999999999E-2</v>
      </c>
      <c r="C178" s="149">
        <f t="shared" si="7"/>
        <v>1.5482267238096118E-3</v>
      </c>
      <c r="D178" s="46" t="s">
        <v>196</v>
      </c>
      <c r="E178" s="46">
        <v>4.8669700199999992</v>
      </c>
      <c r="F178" s="153">
        <f t="shared" si="8"/>
        <v>0.10173391923158034</v>
      </c>
      <c r="R178" s="18"/>
      <c r="S178" s="18"/>
      <c r="U178" s="18"/>
    </row>
    <row r="179" spans="1:21" x14ac:dyDescent="0.25">
      <c r="A179" s="57" t="s">
        <v>100</v>
      </c>
      <c r="B179" s="46">
        <v>6.7096249999999996E-2</v>
      </c>
      <c r="C179" s="149">
        <f t="shared" si="7"/>
        <v>1.3376611157628351E-3</v>
      </c>
      <c r="D179" s="46" t="s">
        <v>213</v>
      </c>
      <c r="E179" s="46">
        <v>4.6541392699999999</v>
      </c>
      <c r="F179" s="153">
        <f t="shared" si="8"/>
        <v>9.7285133592564507E-2</v>
      </c>
      <c r="R179" s="18"/>
      <c r="S179" s="18"/>
      <c r="U179" s="18"/>
    </row>
    <row r="180" spans="1:21" x14ac:dyDescent="0.25">
      <c r="A180" s="57" t="s">
        <v>6</v>
      </c>
      <c r="B180" s="46">
        <v>6.7064399999999996E-2</v>
      </c>
      <c r="C180" s="149">
        <f t="shared" si="7"/>
        <v>1.3370261397911967E-3</v>
      </c>
      <c r="D180" s="46" t="s">
        <v>115</v>
      </c>
      <c r="E180" s="46">
        <v>4.6380918700000002</v>
      </c>
      <c r="F180" s="153">
        <f t="shared" si="8"/>
        <v>9.694969596119056E-2</v>
      </c>
      <c r="R180" s="18"/>
      <c r="S180" s="18"/>
      <c r="U180" s="18"/>
    </row>
    <row r="181" spans="1:21" x14ac:dyDescent="0.25">
      <c r="A181" s="57" t="s">
        <v>685</v>
      </c>
      <c r="B181" s="46">
        <v>6.4621020000000001E-2</v>
      </c>
      <c r="C181" s="149">
        <f t="shared" si="7"/>
        <v>1.2883138135876817E-3</v>
      </c>
      <c r="D181" s="46" t="s">
        <v>6</v>
      </c>
      <c r="E181" s="46">
        <v>4.5810902800000006</v>
      </c>
      <c r="F181" s="153">
        <f t="shared" si="8"/>
        <v>9.5758195884284067E-2</v>
      </c>
      <c r="R181" s="18"/>
      <c r="S181" s="18"/>
      <c r="U181" s="18"/>
    </row>
    <row r="182" spans="1:21" x14ac:dyDescent="0.25">
      <c r="A182" s="57" t="s">
        <v>160</v>
      </c>
      <c r="B182" s="46">
        <v>6.0902379999999999E-2</v>
      </c>
      <c r="C182" s="149">
        <f t="shared" si="7"/>
        <v>1.2141773285900804E-3</v>
      </c>
      <c r="D182" s="46" t="s">
        <v>147</v>
      </c>
      <c r="E182" s="46">
        <v>4.2383039599999996</v>
      </c>
      <c r="F182" s="153">
        <f t="shared" si="8"/>
        <v>8.8592958447179251E-2</v>
      </c>
      <c r="R182" s="18"/>
      <c r="S182" s="18"/>
      <c r="U182" s="18"/>
    </row>
    <row r="183" spans="1:21" x14ac:dyDescent="0.25">
      <c r="A183" s="57" t="s">
        <v>136</v>
      </c>
      <c r="B183" s="46">
        <v>5.5816050000000006E-2</v>
      </c>
      <c r="C183" s="149">
        <f t="shared" si="7"/>
        <v>1.1127739586113113E-3</v>
      </c>
      <c r="D183" s="46" t="s">
        <v>357</v>
      </c>
      <c r="E183" s="46">
        <v>4.1528464999999999</v>
      </c>
      <c r="F183" s="153">
        <f t="shared" si="8"/>
        <v>8.6806647395816741E-2</v>
      </c>
      <c r="R183" s="18"/>
      <c r="S183" s="18"/>
      <c r="U183" s="18"/>
    </row>
    <row r="184" spans="1:21" x14ac:dyDescent="0.25">
      <c r="A184" s="57" t="s">
        <v>123</v>
      </c>
      <c r="B184" s="46">
        <v>5.5740120000000004E-2</v>
      </c>
      <c r="C184" s="149">
        <f t="shared" si="7"/>
        <v>1.1112601838695058E-3</v>
      </c>
      <c r="D184" s="46" t="s">
        <v>150</v>
      </c>
      <c r="E184" s="46">
        <v>3.9623877999999997</v>
      </c>
      <c r="F184" s="153">
        <f t="shared" si="8"/>
        <v>8.2825503085675337E-2</v>
      </c>
      <c r="R184" s="18"/>
      <c r="S184" s="18"/>
      <c r="U184" s="18"/>
    </row>
    <row r="185" spans="1:21" x14ac:dyDescent="0.25">
      <c r="A185" s="57" t="s">
        <v>197</v>
      </c>
      <c r="B185" s="46">
        <v>5.2064680000000002E-2</v>
      </c>
      <c r="C185" s="149">
        <f t="shared" si="7"/>
        <v>1.03798495356499E-3</v>
      </c>
      <c r="D185" s="46" t="s">
        <v>215</v>
      </c>
      <c r="E185" s="46">
        <v>3.8531067000000001</v>
      </c>
      <c r="F185" s="153">
        <f t="shared" si="8"/>
        <v>8.0541208225577102E-2</v>
      </c>
      <c r="R185" s="18"/>
      <c r="S185" s="18"/>
      <c r="U185" s="18"/>
    </row>
    <row r="186" spans="1:21" x14ac:dyDescent="0.25">
      <c r="A186" s="57" t="s">
        <v>49</v>
      </c>
      <c r="B186" s="46">
        <v>4.5710000000000001E-2</v>
      </c>
      <c r="C186" s="149">
        <f t="shared" si="7"/>
        <v>9.1129518567012609E-4</v>
      </c>
      <c r="D186" s="46" t="s">
        <v>129</v>
      </c>
      <c r="E186" s="46">
        <v>3.8054266000000001</v>
      </c>
      <c r="F186" s="153">
        <f t="shared" si="8"/>
        <v>7.954455457404018E-2</v>
      </c>
      <c r="R186" s="18"/>
      <c r="S186" s="18"/>
      <c r="U186" s="18"/>
    </row>
    <row r="187" spans="1:21" x14ac:dyDescent="0.25">
      <c r="A187" s="57" t="s">
        <v>147</v>
      </c>
      <c r="B187" s="46">
        <v>4.4801199999999999E-2</v>
      </c>
      <c r="C187" s="149">
        <f t="shared" si="7"/>
        <v>8.9317693879335921E-4</v>
      </c>
      <c r="D187" s="46" t="s">
        <v>25</v>
      </c>
      <c r="E187" s="46">
        <v>3.7935875699999997</v>
      </c>
      <c r="F187" s="153">
        <f t="shared" si="8"/>
        <v>7.9297084193731521E-2</v>
      </c>
      <c r="R187" s="18"/>
      <c r="S187" s="18"/>
      <c r="U187" s="18"/>
    </row>
    <row r="188" spans="1:21" x14ac:dyDescent="0.25">
      <c r="A188" s="57" t="s">
        <v>31</v>
      </c>
      <c r="B188" s="46">
        <v>4.4560000000000002E-2</v>
      </c>
      <c r="C188" s="149">
        <f t="shared" si="7"/>
        <v>8.8836826675696391E-4</v>
      </c>
      <c r="D188" s="46" t="s">
        <v>685</v>
      </c>
      <c r="E188" s="46">
        <v>3.58417063</v>
      </c>
      <c r="F188" s="153">
        <f t="shared" si="8"/>
        <v>7.4919657176072449E-2</v>
      </c>
      <c r="R188" s="18"/>
      <c r="S188" s="18"/>
      <c r="U188" s="18"/>
    </row>
    <row r="189" spans="1:21" x14ac:dyDescent="0.25">
      <c r="A189" s="57" t="s">
        <v>66</v>
      </c>
      <c r="B189" s="46">
        <v>4.1739129999999999E-2</v>
      </c>
      <c r="C189" s="149">
        <f t="shared" si="7"/>
        <v>8.3213012957907516E-4</v>
      </c>
      <c r="D189" s="46" t="s">
        <v>212</v>
      </c>
      <c r="E189" s="46">
        <v>3.3038691600000001</v>
      </c>
      <c r="F189" s="153">
        <f t="shared" si="8"/>
        <v>6.9060535999592873E-2</v>
      </c>
      <c r="R189" s="18"/>
      <c r="S189" s="18"/>
      <c r="U189" s="18"/>
    </row>
    <row r="190" spans="1:21" x14ac:dyDescent="0.25">
      <c r="A190" s="57" t="s">
        <v>21</v>
      </c>
      <c r="B190" s="46">
        <v>4.0818E-2</v>
      </c>
      <c r="C190" s="149">
        <f t="shared" si="7"/>
        <v>8.1376606625865682E-4</v>
      </c>
      <c r="D190" s="46" t="s">
        <v>177</v>
      </c>
      <c r="E190" s="46">
        <v>3.1263906000000001</v>
      </c>
      <c r="F190" s="153">
        <f t="shared" si="8"/>
        <v>6.5350714608834196E-2</v>
      </c>
      <c r="R190" s="18"/>
      <c r="S190" s="18"/>
      <c r="U190" s="18"/>
    </row>
    <row r="191" spans="1:21" x14ac:dyDescent="0.25">
      <c r="A191" s="57" t="s">
        <v>190</v>
      </c>
      <c r="B191" s="46">
        <v>3.8372540000000004E-2</v>
      </c>
      <c r="C191" s="149">
        <f t="shared" si="7"/>
        <v>7.6501227223658584E-4</v>
      </c>
      <c r="D191" s="46" t="s">
        <v>349</v>
      </c>
      <c r="E191" s="46">
        <v>3.1102427400000003</v>
      </c>
      <c r="F191" s="153">
        <f t="shared" si="8"/>
        <v>6.5013177069409858E-2</v>
      </c>
      <c r="R191" s="18"/>
      <c r="S191" s="18"/>
      <c r="U191" s="18"/>
    </row>
    <row r="192" spans="1:21" x14ac:dyDescent="0.25">
      <c r="A192" s="57" t="s">
        <v>89</v>
      </c>
      <c r="B192" s="46">
        <v>3.6355660000000005E-2</v>
      </c>
      <c r="C192" s="149">
        <f t="shared" si="7"/>
        <v>7.2480284248216972E-4</v>
      </c>
      <c r="D192" s="46" t="s">
        <v>136</v>
      </c>
      <c r="E192" s="46">
        <v>2.7206319900000002</v>
      </c>
      <c r="F192" s="153">
        <f t="shared" si="8"/>
        <v>5.6869171988348045E-2</v>
      </c>
      <c r="R192" s="18"/>
      <c r="S192" s="18"/>
      <c r="U192" s="18"/>
    </row>
    <row r="193" spans="1:21" x14ac:dyDescent="0.25">
      <c r="A193" s="57" t="s">
        <v>149</v>
      </c>
      <c r="B193" s="46">
        <v>3.5850639999999996E-2</v>
      </c>
      <c r="C193" s="149">
        <f t="shared" si="7"/>
        <v>7.1473453588258252E-4</v>
      </c>
      <c r="D193" s="46" t="s">
        <v>369</v>
      </c>
      <c r="E193" s="46">
        <v>2.7171286600000002</v>
      </c>
      <c r="F193" s="153">
        <f t="shared" si="8"/>
        <v>5.6795942136962693E-2</v>
      </c>
      <c r="R193" s="18"/>
      <c r="S193" s="18"/>
      <c r="U193" s="18"/>
    </row>
    <row r="194" spans="1:21" x14ac:dyDescent="0.25">
      <c r="A194" s="57" t="s">
        <v>161</v>
      </c>
      <c r="B194" s="46">
        <v>3.5729010000000005E-2</v>
      </c>
      <c r="C194" s="149">
        <f t="shared" si="7"/>
        <v>7.1230966531961922E-4</v>
      </c>
      <c r="D194" s="46" t="s">
        <v>2</v>
      </c>
      <c r="E194" s="46">
        <v>2.69033437</v>
      </c>
      <c r="F194" s="153">
        <f t="shared" si="8"/>
        <v>5.6235863048017011E-2</v>
      </c>
      <c r="R194" s="18"/>
      <c r="S194" s="18"/>
      <c r="U194" s="18"/>
    </row>
    <row r="195" spans="1:21" x14ac:dyDescent="0.25">
      <c r="A195" s="57" t="s">
        <v>193</v>
      </c>
      <c r="B195" s="46">
        <v>2.8930999999999998E-2</v>
      </c>
      <c r="C195" s="149">
        <f t="shared" si="7"/>
        <v>5.7678147050147476E-4</v>
      </c>
      <c r="D195" s="46" t="s">
        <v>121</v>
      </c>
      <c r="E195" s="46">
        <v>2.4614623799999999</v>
      </c>
      <c r="F195" s="153">
        <f t="shared" si="8"/>
        <v>5.1451768539657772E-2</v>
      </c>
      <c r="R195" s="18"/>
      <c r="S195" s="18"/>
      <c r="U195" s="18"/>
    </row>
    <row r="196" spans="1:21" x14ac:dyDescent="0.25">
      <c r="A196" s="57" t="s">
        <v>107</v>
      </c>
      <c r="B196" s="46">
        <v>2.8405099999999999E-2</v>
      </c>
      <c r="C196" s="149">
        <f t="shared" si="7"/>
        <v>5.6629689080022968E-4</v>
      </c>
      <c r="D196" s="46" t="s">
        <v>120</v>
      </c>
      <c r="E196" s="46">
        <v>2.4221914300000003</v>
      </c>
      <c r="F196" s="153">
        <f t="shared" si="8"/>
        <v>5.0630890737035229E-2</v>
      </c>
      <c r="R196" s="18"/>
      <c r="S196" s="18"/>
      <c r="U196" s="18"/>
    </row>
    <row r="197" spans="1:21" x14ac:dyDescent="0.25">
      <c r="A197" s="57" t="s">
        <v>196</v>
      </c>
      <c r="B197" s="46">
        <v>2.6535980000000001E-2</v>
      </c>
      <c r="C197" s="149">
        <f t="shared" si="7"/>
        <v>5.2903327107938641E-4</v>
      </c>
      <c r="D197" s="46" t="s">
        <v>111</v>
      </c>
      <c r="E197" s="46">
        <v>2.2328250999999999</v>
      </c>
      <c r="F197" s="153">
        <f t="shared" si="8"/>
        <v>4.6672580157303974E-2</v>
      </c>
      <c r="R197" s="18"/>
      <c r="S197" s="18"/>
      <c r="U197" s="18"/>
    </row>
    <row r="198" spans="1:21" x14ac:dyDescent="0.25">
      <c r="A198" s="57" t="s">
        <v>213</v>
      </c>
      <c r="B198" s="46">
        <v>2.604103E-2</v>
      </c>
      <c r="C198" s="149">
        <f t="shared" si="7"/>
        <v>5.1916572454367368E-4</v>
      </c>
      <c r="D198" s="46" t="s">
        <v>53</v>
      </c>
      <c r="E198" s="46">
        <v>2.1647500000000002</v>
      </c>
      <c r="F198" s="153">
        <f t="shared" si="8"/>
        <v>4.5249611308796102E-2</v>
      </c>
      <c r="R198" s="18"/>
      <c r="S198" s="18"/>
      <c r="U198" s="18"/>
    </row>
    <row r="199" spans="1:21" x14ac:dyDescent="0.25">
      <c r="A199" s="57" t="s">
        <v>53</v>
      </c>
      <c r="B199" s="46">
        <v>2.4382069999999999E-2</v>
      </c>
      <c r="C199" s="149">
        <f t="shared" si="7"/>
        <v>4.8609194941308268E-4</v>
      </c>
      <c r="D199" s="46" t="s">
        <v>114</v>
      </c>
      <c r="E199" s="46">
        <v>2.1478574100000003</v>
      </c>
      <c r="F199" s="153">
        <f t="shared" si="8"/>
        <v>4.4896506732517619E-2</v>
      </c>
      <c r="R199" s="18"/>
      <c r="S199" s="18"/>
      <c r="U199" s="18"/>
    </row>
    <row r="200" spans="1:21" x14ac:dyDescent="0.25">
      <c r="A200" s="57" t="s">
        <v>169</v>
      </c>
      <c r="B200" s="46">
        <v>1.9928000000000001E-2</v>
      </c>
      <c r="C200" s="149">
        <f t="shared" si="7"/>
        <v>3.9729360008825801E-4</v>
      </c>
      <c r="D200" s="46" t="s">
        <v>109</v>
      </c>
      <c r="E200" s="46">
        <v>2.1460673900000002</v>
      </c>
      <c r="F200" s="153">
        <f t="shared" si="8"/>
        <v>4.4859090075058339E-2</v>
      </c>
      <c r="R200" s="18"/>
      <c r="S200" s="18"/>
      <c r="U200" s="18"/>
    </row>
    <row r="201" spans="1:21" x14ac:dyDescent="0.25">
      <c r="A201" s="57" t="s">
        <v>204</v>
      </c>
      <c r="B201" s="46">
        <v>1.9565529999999998E-2</v>
      </c>
      <c r="C201" s="149">
        <f t="shared" si="7"/>
        <v>3.9006723461134144E-4</v>
      </c>
      <c r="D201" s="46" t="s">
        <v>36</v>
      </c>
      <c r="E201" s="46">
        <v>2.1371722100000001</v>
      </c>
      <c r="F201" s="153">
        <f t="shared" si="8"/>
        <v>4.4673154776514963E-2</v>
      </c>
      <c r="R201" s="18"/>
      <c r="S201" s="18"/>
      <c r="U201" s="18"/>
    </row>
    <row r="202" spans="1:21" x14ac:dyDescent="0.25">
      <c r="A202" s="57" t="s">
        <v>33</v>
      </c>
      <c r="B202" s="46">
        <v>1.7644799999999999E-2</v>
      </c>
      <c r="C202" s="149">
        <f t="shared" si="7"/>
        <v>3.5177469464257795E-4</v>
      </c>
      <c r="D202" s="46" t="s">
        <v>161</v>
      </c>
      <c r="E202" s="46">
        <v>2.0872069299999998</v>
      </c>
      <c r="F202" s="153">
        <f t="shared" si="8"/>
        <v>4.3628734174165879E-2</v>
      </c>
      <c r="R202" s="18"/>
      <c r="S202" s="18"/>
      <c r="U202" s="18"/>
    </row>
    <row r="203" spans="1:21" x14ac:dyDescent="0.25">
      <c r="A203" s="57" t="s">
        <v>187</v>
      </c>
      <c r="B203" s="46">
        <v>1.4108379999999998E-2</v>
      </c>
      <c r="C203" s="149">
        <f t="shared" si="7"/>
        <v>2.8127102978789522E-4</v>
      </c>
      <c r="D203" s="46" t="s">
        <v>164</v>
      </c>
      <c r="E203" s="46">
        <v>2.05305633</v>
      </c>
      <c r="F203" s="153">
        <f t="shared" si="8"/>
        <v>4.2914886674010125E-2</v>
      </c>
      <c r="R203" s="18"/>
      <c r="S203" s="18"/>
      <c r="U203" s="18"/>
    </row>
    <row r="204" spans="1:21" x14ac:dyDescent="0.25">
      <c r="A204" s="57" t="s">
        <v>126</v>
      </c>
      <c r="B204" s="46">
        <v>1.401956E-2</v>
      </c>
      <c r="C204" s="149">
        <f t="shared" si="7"/>
        <v>2.7950027418975002E-4</v>
      </c>
      <c r="D204" s="46" t="s">
        <v>383</v>
      </c>
      <c r="E204" s="46">
        <v>1.99089323</v>
      </c>
      <c r="F204" s="153">
        <f t="shared" si="8"/>
        <v>4.1615495930159875E-2</v>
      </c>
      <c r="R204" s="18"/>
      <c r="S204" s="18"/>
      <c r="U204" s="18"/>
    </row>
    <row r="205" spans="1:21" x14ac:dyDescent="0.25">
      <c r="A205" s="57" t="s">
        <v>67</v>
      </c>
      <c r="B205" s="46">
        <v>1.252E-2</v>
      </c>
      <c r="C205" s="149">
        <f t="shared" si="7"/>
        <v>2.4960436938503564E-4</v>
      </c>
      <c r="D205" s="46" t="s">
        <v>380</v>
      </c>
      <c r="E205" s="46">
        <v>1.9412051100000001</v>
      </c>
      <c r="F205" s="153">
        <f t="shared" si="8"/>
        <v>4.0576868783069077E-2</v>
      </c>
      <c r="R205" s="18"/>
      <c r="S205" s="18"/>
      <c r="U205" s="18"/>
    </row>
    <row r="206" spans="1:21" x14ac:dyDescent="0.25">
      <c r="A206" s="57" t="s">
        <v>23</v>
      </c>
      <c r="B206" s="46">
        <v>1.2003E-2</v>
      </c>
      <c r="C206" s="149">
        <f t="shared" si="7"/>
        <v>2.3929722409972703E-4</v>
      </c>
      <c r="D206" s="46" t="s">
        <v>155</v>
      </c>
      <c r="E206" s="46">
        <v>1.7707256200000001</v>
      </c>
      <c r="F206" s="153">
        <f t="shared" si="8"/>
        <v>3.7013348441864879E-2</v>
      </c>
      <c r="R206" s="18"/>
      <c r="S206" s="18"/>
      <c r="U206" s="18"/>
    </row>
    <row r="207" spans="1:21" x14ac:dyDescent="0.25">
      <c r="A207" s="57" t="s">
        <v>210</v>
      </c>
      <c r="B207" s="46">
        <v>1.185685E-2</v>
      </c>
      <c r="C207" s="149">
        <f t="shared" si="7"/>
        <v>2.3638351175263254E-4</v>
      </c>
      <c r="D207" s="46" t="s">
        <v>370</v>
      </c>
      <c r="E207" s="46">
        <v>1.75804841</v>
      </c>
      <c r="F207" s="153">
        <f t="shared" si="8"/>
        <v>3.6748357646170231E-2</v>
      </c>
      <c r="R207" s="18"/>
      <c r="S207" s="18"/>
      <c r="U207" s="18"/>
    </row>
    <row r="208" spans="1:21" x14ac:dyDescent="0.25">
      <c r="A208" s="57" t="s">
        <v>212</v>
      </c>
      <c r="B208" s="46">
        <v>9.4640000000000002E-3</v>
      </c>
      <c r="C208" s="149">
        <f t="shared" si="7"/>
        <v>1.8867857442971062E-4</v>
      </c>
      <c r="D208" s="46" t="s">
        <v>72</v>
      </c>
      <c r="E208" s="46">
        <v>1.7367364299999999</v>
      </c>
      <c r="F208" s="153">
        <f t="shared" si="8"/>
        <v>3.630287488316257E-2</v>
      </c>
      <c r="R208" s="18"/>
      <c r="S208" s="18"/>
      <c r="U208" s="18"/>
    </row>
    <row r="209" spans="1:21" x14ac:dyDescent="0.25">
      <c r="A209" s="57" t="s">
        <v>22</v>
      </c>
      <c r="B209" s="46">
        <v>9.1335400000000008E-3</v>
      </c>
      <c r="C209" s="149">
        <f t="shared" si="7"/>
        <v>1.8209037475662928E-4</v>
      </c>
      <c r="D209" s="46" t="s">
        <v>110</v>
      </c>
      <c r="E209" s="46">
        <v>1.65148384</v>
      </c>
      <c r="F209" s="153">
        <f t="shared" si="8"/>
        <v>3.4520846214462643E-2</v>
      </c>
      <c r="R209" s="18"/>
      <c r="S209" s="18"/>
      <c r="U209" s="18"/>
    </row>
    <row r="210" spans="1:21" x14ac:dyDescent="0.25">
      <c r="A210" s="57" t="s">
        <v>43</v>
      </c>
      <c r="B210" s="46">
        <v>7.1799100000000003E-3</v>
      </c>
      <c r="C210" s="149">
        <f t="shared" si="7"/>
        <v>1.4314192554243699E-4</v>
      </c>
      <c r="D210" s="46" t="s">
        <v>122</v>
      </c>
      <c r="E210" s="46">
        <v>1.5378950200000001</v>
      </c>
      <c r="F210" s="153">
        <f t="shared" si="8"/>
        <v>3.2146507397497727E-2</v>
      </c>
      <c r="R210" s="18"/>
      <c r="S210" s="18"/>
      <c r="U210" s="18"/>
    </row>
    <row r="211" spans="1:21" x14ac:dyDescent="0.25">
      <c r="A211" s="57" t="s">
        <v>13</v>
      </c>
      <c r="B211" s="46">
        <v>6.8252499999999997E-3</v>
      </c>
      <c r="C211" s="149">
        <f t="shared" si="7"/>
        <v>1.3607126374961775E-4</v>
      </c>
      <c r="D211" s="46" t="s">
        <v>181</v>
      </c>
      <c r="E211" s="46">
        <v>1.4841441599999998</v>
      </c>
      <c r="F211" s="153">
        <f t="shared" si="8"/>
        <v>3.1022957092606388E-2</v>
      </c>
      <c r="R211" s="18"/>
      <c r="S211" s="18"/>
      <c r="U211" s="18"/>
    </row>
    <row r="212" spans="1:21" x14ac:dyDescent="0.25">
      <c r="A212" s="57" t="s">
        <v>167</v>
      </c>
      <c r="B212" s="46">
        <v>6.5319999999999996E-3</v>
      </c>
      <c r="C212" s="149">
        <f t="shared" si="7"/>
        <v>1.3022489942676139E-4</v>
      </c>
      <c r="D212" s="46" t="s">
        <v>10</v>
      </c>
      <c r="E212" s="46">
        <v>1.4692470399999999</v>
      </c>
      <c r="F212" s="153">
        <f t="shared" si="8"/>
        <v>3.071156368014745E-2</v>
      </c>
      <c r="R212" s="18"/>
      <c r="S212" s="18"/>
      <c r="U212" s="18"/>
    </row>
    <row r="213" spans="1:21" x14ac:dyDescent="0.25">
      <c r="A213" s="57" t="s">
        <v>24</v>
      </c>
      <c r="B213" s="46">
        <v>5.5180000000000003E-3</v>
      </c>
      <c r="C213" s="149">
        <f t="shared" si="7"/>
        <v>1.1000933788072097E-4</v>
      </c>
      <c r="D213" s="46" t="s">
        <v>167</v>
      </c>
      <c r="E213" s="46">
        <v>1.3691057900000001</v>
      </c>
      <c r="F213" s="153">
        <f t="shared" si="8"/>
        <v>2.8618318437751346E-2</v>
      </c>
      <c r="R213" s="18"/>
      <c r="S213" s="18"/>
      <c r="U213" s="18"/>
    </row>
    <row r="214" spans="1:21" x14ac:dyDescent="0.25">
      <c r="A214" s="57" t="s">
        <v>191</v>
      </c>
      <c r="B214" s="46">
        <v>5.3449999999999999E-3</v>
      </c>
      <c r="C214" s="149">
        <f t="shared" si="7"/>
        <v>1.0656033181813223E-4</v>
      </c>
      <c r="D214" s="46" t="s">
        <v>87</v>
      </c>
      <c r="E214" s="46">
        <v>1.3428128100000001</v>
      </c>
      <c r="F214" s="153">
        <f t="shared" si="8"/>
        <v>2.8068718195159843E-2</v>
      </c>
      <c r="R214" s="18"/>
      <c r="S214" s="18"/>
      <c r="U214" s="18"/>
    </row>
    <row r="215" spans="1:21" x14ac:dyDescent="0.25">
      <c r="A215" s="57" t="s">
        <v>47</v>
      </c>
      <c r="B215" s="46">
        <v>4.9316899999999999E-3</v>
      </c>
      <c r="C215" s="149">
        <f t="shared" si="7"/>
        <v>9.832039716074172E-5</v>
      </c>
      <c r="D215" s="46" t="s">
        <v>45</v>
      </c>
      <c r="E215" s="46">
        <v>1.26237223</v>
      </c>
      <c r="F215" s="153">
        <f t="shared" si="8"/>
        <v>2.6387274620403346E-2</v>
      </c>
      <c r="R215" s="18"/>
      <c r="S215" s="18"/>
      <c r="U215" s="18"/>
    </row>
    <row r="216" spans="1:21" x14ac:dyDescent="0.25">
      <c r="A216" s="57" t="s">
        <v>14</v>
      </c>
      <c r="B216" s="46">
        <v>4.7346999999999997E-3</v>
      </c>
      <c r="C216" s="149">
        <f t="shared" si="7"/>
        <v>9.4393115633173164E-5</v>
      </c>
      <c r="D216" s="46" t="s">
        <v>0</v>
      </c>
      <c r="E216" s="46">
        <v>1.0252240500000001</v>
      </c>
      <c r="F216" s="153">
        <f t="shared" si="8"/>
        <v>2.1430183516308925E-2</v>
      </c>
      <c r="R216" s="18"/>
      <c r="S216" s="18"/>
      <c r="U216" s="18"/>
    </row>
    <row r="217" spans="1:21" x14ac:dyDescent="0.25">
      <c r="A217" s="57" t="s">
        <v>92</v>
      </c>
      <c r="B217" s="46">
        <v>4.6850099999999999E-3</v>
      </c>
      <c r="C217" s="149">
        <f t="shared" si="7"/>
        <v>9.3402473371612278E-5</v>
      </c>
      <c r="D217" s="46" t="s">
        <v>669</v>
      </c>
      <c r="E217" s="46">
        <v>1.01741134</v>
      </c>
      <c r="F217" s="153">
        <f t="shared" si="8"/>
        <v>2.1266875009198008E-2</v>
      </c>
      <c r="R217" s="18"/>
      <c r="S217" s="18"/>
      <c r="U217" s="18"/>
    </row>
    <row r="218" spans="1:21" x14ac:dyDescent="0.25">
      <c r="A218" s="57" t="s">
        <v>26</v>
      </c>
      <c r="B218" s="46">
        <v>4.1601499999999996E-3</v>
      </c>
      <c r="C218" s="149">
        <f t="shared" si="7"/>
        <v>8.2938627579645028E-5</v>
      </c>
      <c r="D218" s="46" t="s">
        <v>71</v>
      </c>
      <c r="E218" s="46">
        <v>0.95587543999999991</v>
      </c>
      <c r="F218" s="153">
        <f t="shared" si="8"/>
        <v>1.9980594581186947E-2</v>
      </c>
      <c r="R218" s="18"/>
      <c r="S218" s="18"/>
      <c r="U218" s="18"/>
    </row>
    <row r="219" spans="1:21" x14ac:dyDescent="0.25">
      <c r="A219" s="57" t="s">
        <v>110</v>
      </c>
      <c r="B219" s="46">
        <v>4.0000000000000001E-3</v>
      </c>
      <c r="C219" s="149">
        <f t="shared" si="7"/>
        <v>7.9745804915346848E-5</v>
      </c>
      <c r="D219" s="46" t="s">
        <v>356</v>
      </c>
      <c r="E219" s="46">
        <v>0.89996769999999993</v>
      </c>
      <c r="F219" s="153">
        <f t="shared" si="8"/>
        <v>1.8811959171022619E-2</v>
      </c>
      <c r="R219" s="18"/>
      <c r="S219" s="18"/>
      <c r="U219" s="18"/>
    </row>
    <row r="220" spans="1:21" x14ac:dyDescent="0.25">
      <c r="A220" s="57" t="s">
        <v>130</v>
      </c>
      <c r="B220" s="46">
        <v>3.8913000000000003E-3</v>
      </c>
      <c r="C220" s="149">
        <f t="shared" si="7"/>
        <v>7.7578712666772297E-5</v>
      </c>
      <c r="D220" s="46" t="s">
        <v>211</v>
      </c>
      <c r="E220" s="46">
        <v>0.82427673999999995</v>
      </c>
      <c r="F220" s="153">
        <f t="shared" si="8"/>
        <v>1.722979655659156E-2</v>
      </c>
      <c r="R220" s="18"/>
      <c r="S220" s="18"/>
      <c r="U220" s="18"/>
    </row>
    <row r="221" spans="1:21" x14ac:dyDescent="0.25">
      <c r="A221" s="57" t="s">
        <v>192</v>
      </c>
      <c r="B221" s="46">
        <v>3.6440000000000001E-3</v>
      </c>
      <c r="C221" s="149">
        <f t="shared" si="7"/>
        <v>7.2648428277880973E-5</v>
      </c>
      <c r="D221" s="46" t="s">
        <v>186</v>
      </c>
      <c r="E221" s="46">
        <v>0.81058417000000005</v>
      </c>
      <c r="F221" s="153">
        <f t="shared" si="8"/>
        <v>1.6943581764898071E-2</v>
      </c>
      <c r="R221" s="18"/>
      <c r="S221" s="18"/>
      <c r="U221" s="18"/>
    </row>
    <row r="222" spans="1:21" x14ac:dyDescent="0.25">
      <c r="A222" s="57" t="s">
        <v>71</v>
      </c>
      <c r="B222" s="46">
        <v>3.2173000000000002E-3</v>
      </c>
      <c r="C222" s="149">
        <f t="shared" si="7"/>
        <v>6.4141544538536354E-5</v>
      </c>
      <c r="D222" s="46" t="s">
        <v>143</v>
      </c>
      <c r="E222" s="46">
        <v>0.79606844999999993</v>
      </c>
      <c r="F222" s="153">
        <f t="shared" si="8"/>
        <v>1.6640160728812001E-2</v>
      </c>
      <c r="R222" s="18"/>
      <c r="S222" s="18"/>
      <c r="U222" s="18"/>
    </row>
    <row r="223" spans="1:21" x14ac:dyDescent="0.25">
      <c r="A223" s="57" t="s">
        <v>35</v>
      </c>
      <c r="B223" s="46">
        <v>3.0642800000000004E-3</v>
      </c>
      <c r="C223" s="149">
        <f t="shared" si="7"/>
        <v>6.1090868771499767E-5</v>
      </c>
      <c r="D223" s="46" t="s">
        <v>68</v>
      </c>
      <c r="E223" s="46">
        <v>0.79200389999999998</v>
      </c>
      <c r="F223" s="153">
        <f t="shared" si="8"/>
        <v>1.655519973671353E-2</v>
      </c>
      <c r="R223" s="18"/>
      <c r="S223" s="18"/>
      <c r="U223" s="18"/>
    </row>
    <row r="224" spans="1:21" x14ac:dyDescent="0.25">
      <c r="A224" s="57" t="s">
        <v>111</v>
      </c>
      <c r="B224" s="46">
        <v>3.0051500000000003E-3</v>
      </c>
      <c r="C224" s="149">
        <f t="shared" si="7"/>
        <v>5.9912026410338643E-5</v>
      </c>
      <c r="D224" s="46" t="s">
        <v>149</v>
      </c>
      <c r="E224" s="46">
        <v>0.75941204000000007</v>
      </c>
      <c r="F224" s="153">
        <f t="shared" si="8"/>
        <v>1.5873934465051354E-2</v>
      </c>
      <c r="R224" s="18"/>
      <c r="S224" s="18"/>
      <c r="U224" s="18"/>
    </row>
    <row r="225" spans="1:21" x14ac:dyDescent="0.25">
      <c r="A225" s="57" t="s">
        <v>17</v>
      </c>
      <c r="B225" s="46">
        <v>2.4260000000000002E-3</v>
      </c>
      <c r="C225" s="149">
        <f t="shared" si="7"/>
        <v>4.8365830681157868E-5</v>
      </c>
      <c r="D225" s="46" t="s">
        <v>107</v>
      </c>
      <c r="E225" s="46">
        <v>0.75730179000000009</v>
      </c>
      <c r="F225" s="153">
        <f t="shared" si="8"/>
        <v>1.5829824063266211E-2</v>
      </c>
      <c r="R225" s="18"/>
      <c r="S225" s="18"/>
      <c r="U225" s="18"/>
    </row>
    <row r="226" spans="1:21" x14ac:dyDescent="0.25">
      <c r="A226" s="57" t="s">
        <v>153</v>
      </c>
      <c r="B226" s="46">
        <v>1.7902700000000001E-3</v>
      </c>
      <c r="C226" s="149">
        <f t="shared" si="7"/>
        <v>3.5691630541449499E-5</v>
      </c>
      <c r="D226" s="46" t="s">
        <v>153</v>
      </c>
      <c r="E226" s="46">
        <v>0.72965734999999998</v>
      </c>
      <c r="F226" s="153">
        <f t="shared" si="8"/>
        <v>1.5251974350897882E-2</v>
      </c>
      <c r="R226" s="18"/>
      <c r="S226" s="18"/>
      <c r="U226" s="18"/>
    </row>
    <row r="227" spans="1:21" x14ac:dyDescent="0.25">
      <c r="A227" s="57" t="s">
        <v>124</v>
      </c>
      <c r="B227" s="46">
        <v>1.6003499999999999E-3</v>
      </c>
      <c r="C227" s="149">
        <f t="shared" si="7"/>
        <v>3.1905299724068827E-5</v>
      </c>
      <c r="D227" s="46" t="s">
        <v>73</v>
      </c>
      <c r="E227" s="46">
        <v>0.71365417000000009</v>
      </c>
      <c r="F227" s="153">
        <f t="shared" si="8"/>
        <v>1.4917461046957617E-2</v>
      </c>
      <c r="R227" s="18"/>
      <c r="S227" s="18"/>
      <c r="U227" s="18"/>
    </row>
    <row r="228" spans="1:21" x14ac:dyDescent="0.25">
      <c r="A228" s="57" t="s">
        <v>205</v>
      </c>
      <c r="B228" s="46">
        <v>1.5182000000000001E-3</v>
      </c>
      <c r="C228" s="149">
        <f t="shared" si="7"/>
        <v>3.0267520255619896E-5</v>
      </c>
      <c r="D228" s="46" t="s">
        <v>69</v>
      </c>
      <c r="E228" s="46">
        <v>0.70811701000000005</v>
      </c>
      <c r="F228" s="153">
        <f t="shared" si="8"/>
        <v>1.4801718195471479E-2</v>
      </c>
      <c r="R228" s="18"/>
      <c r="S228" s="18"/>
      <c r="U228" s="18"/>
    </row>
    <row r="229" spans="1:21" x14ac:dyDescent="0.25">
      <c r="A229" s="57" t="s">
        <v>109</v>
      </c>
      <c r="B229" s="46">
        <v>1.2800000000000001E-3</v>
      </c>
      <c r="C229" s="149">
        <f t="shared" si="7"/>
        <v>2.5518657572910994E-5</v>
      </c>
      <c r="D229" s="46" t="s">
        <v>205</v>
      </c>
      <c r="E229" s="46">
        <v>0.70188507999999994</v>
      </c>
      <c r="F229" s="153">
        <f t="shared" si="8"/>
        <v>1.4671452617366096E-2</v>
      </c>
      <c r="R229" s="18"/>
      <c r="S229" s="18"/>
      <c r="U229" s="18"/>
    </row>
    <row r="230" spans="1:21" x14ac:dyDescent="0.25">
      <c r="A230" s="57" t="s">
        <v>141</v>
      </c>
      <c r="B230" s="46">
        <v>7.5000000000000002E-4</v>
      </c>
      <c r="C230" s="149">
        <f t="shared" si="7"/>
        <v>1.4952338421627532E-5</v>
      </c>
      <c r="D230" s="46" t="s">
        <v>354</v>
      </c>
      <c r="E230" s="46">
        <v>0.68810068000000002</v>
      </c>
      <c r="F230" s="153">
        <f t="shared" si="8"/>
        <v>1.4383318309882568E-2</v>
      </c>
      <c r="R230" s="18"/>
      <c r="S230" s="18"/>
      <c r="U230" s="18"/>
    </row>
    <row r="231" spans="1:21" x14ac:dyDescent="0.25">
      <c r="A231" s="57" t="s">
        <v>3</v>
      </c>
      <c r="B231" s="46">
        <v>2.0000000000000001E-4</v>
      </c>
      <c r="C231" s="149">
        <f t="shared" si="7"/>
        <v>3.9872902457673424E-6</v>
      </c>
      <c r="D231" s="46" t="s">
        <v>14</v>
      </c>
      <c r="E231" s="46">
        <v>0.66652447999999997</v>
      </c>
      <c r="F231" s="153">
        <f t="shared" si="8"/>
        <v>1.3932312575492522E-2</v>
      </c>
      <c r="R231" s="18"/>
      <c r="S231" s="18"/>
      <c r="U231" s="18"/>
    </row>
    <row r="232" spans="1:21" x14ac:dyDescent="0.25">
      <c r="A232" s="57" t="s">
        <v>56</v>
      </c>
      <c r="B232" s="46">
        <v>9.0000000000000006E-5</v>
      </c>
      <c r="C232" s="149">
        <f t="shared" si="7"/>
        <v>1.794280610595304E-6</v>
      </c>
      <c r="D232" s="46" t="s">
        <v>43</v>
      </c>
      <c r="E232" s="46">
        <v>0.63978798000000003</v>
      </c>
      <c r="F232" s="153">
        <f t="shared" si="8"/>
        <v>1.3373441466700458E-2</v>
      </c>
      <c r="R232" s="18"/>
      <c r="S232" s="18"/>
      <c r="U232" s="18"/>
    </row>
    <row r="233" spans="1:21" x14ac:dyDescent="0.25">
      <c r="A233" s="57" t="s">
        <v>201</v>
      </c>
      <c r="B233" s="46">
        <v>5.0000000000000002E-5</v>
      </c>
      <c r="C233" s="149">
        <f t="shared" si="7"/>
        <v>9.968225614418356E-7</v>
      </c>
      <c r="D233" s="46" t="s">
        <v>91</v>
      </c>
      <c r="E233" s="46">
        <v>0.62521780000000005</v>
      </c>
      <c r="F233" s="153">
        <f t="shared" si="8"/>
        <v>1.3068882057207817E-2</v>
      </c>
      <c r="R233" s="18"/>
      <c r="S233" s="18"/>
      <c r="U233" s="18"/>
    </row>
    <row r="234" spans="1:21" x14ac:dyDescent="0.25">
      <c r="A234" s="57" t="s">
        <v>203</v>
      </c>
      <c r="B234" s="46">
        <v>3.4999999999999997E-5</v>
      </c>
      <c r="C234" s="149">
        <f t="shared" si="7"/>
        <v>6.9777579300928484E-7</v>
      </c>
      <c r="D234" s="46" t="s">
        <v>365</v>
      </c>
      <c r="E234" s="46">
        <v>0.60813899999999999</v>
      </c>
      <c r="F234" s="153">
        <f t="shared" si="8"/>
        <v>1.2711885146885298E-2</v>
      </c>
      <c r="R234" s="18"/>
      <c r="S234" s="18"/>
      <c r="U234" s="18"/>
    </row>
    <row r="235" spans="1:21" x14ac:dyDescent="0.25">
      <c r="A235" s="36"/>
      <c r="B235" s="46"/>
      <c r="C235" s="149"/>
      <c r="D235" s="46" t="s">
        <v>13</v>
      </c>
      <c r="E235" s="46">
        <v>0.56061918000000011</v>
      </c>
      <c r="F235" s="153">
        <f t="shared" si="8"/>
        <v>1.1718581816494284E-2</v>
      </c>
      <c r="R235" s="18"/>
      <c r="S235" s="18"/>
      <c r="U235" s="18"/>
    </row>
    <row r="236" spans="1:21" x14ac:dyDescent="0.25">
      <c r="A236" s="36"/>
      <c r="B236" s="46"/>
      <c r="C236" s="149"/>
      <c r="D236" s="46" t="s">
        <v>184</v>
      </c>
      <c r="E236" s="46">
        <v>0.46392791999999999</v>
      </c>
      <c r="F236" s="153">
        <f t="shared" si="8"/>
        <v>9.6974514633552372E-3</v>
      </c>
      <c r="R236" s="18"/>
      <c r="S236" s="18"/>
      <c r="U236" s="18"/>
    </row>
    <row r="237" spans="1:21" x14ac:dyDescent="0.25">
      <c r="A237" s="36"/>
      <c r="B237" s="46"/>
      <c r="C237" s="149"/>
      <c r="D237" s="46" t="s">
        <v>372</v>
      </c>
      <c r="E237" s="46">
        <v>0.46334946000000005</v>
      </c>
      <c r="F237" s="153">
        <f t="shared" si="8"/>
        <v>9.6853599561799592E-3</v>
      </c>
      <c r="R237" s="18"/>
      <c r="S237" s="18"/>
      <c r="U237" s="18"/>
    </row>
    <row r="238" spans="1:21" x14ac:dyDescent="0.25">
      <c r="A238" s="36"/>
      <c r="B238" s="46"/>
      <c r="C238" s="149"/>
      <c r="D238" s="46" t="s">
        <v>183</v>
      </c>
      <c r="E238" s="46">
        <v>0.36958055000000001</v>
      </c>
      <c r="F238" s="153">
        <f t="shared" si="8"/>
        <v>7.7253152718748507E-3</v>
      </c>
      <c r="R238" s="18"/>
      <c r="S238" s="18"/>
      <c r="U238" s="18"/>
    </row>
    <row r="239" spans="1:21" x14ac:dyDescent="0.25">
      <c r="A239" s="36"/>
      <c r="B239" s="46"/>
      <c r="C239" s="149"/>
      <c r="D239" s="46" t="s">
        <v>44</v>
      </c>
      <c r="E239" s="46">
        <v>0.34485167</v>
      </c>
      <c r="F239" s="153">
        <f t="shared" si="8"/>
        <v>7.2084092974658591E-3</v>
      </c>
      <c r="R239" s="18"/>
      <c r="S239" s="18"/>
      <c r="U239" s="18"/>
    </row>
    <row r="240" spans="1:21" x14ac:dyDescent="0.25">
      <c r="A240" s="36"/>
      <c r="B240" s="46"/>
      <c r="C240" s="149"/>
      <c r="D240" s="46" t="s">
        <v>1</v>
      </c>
      <c r="E240" s="46">
        <v>0.31516304000000001</v>
      </c>
      <c r="F240" s="153">
        <f t="shared" si="8"/>
        <v>6.5878300306726218E-3</v>
      </c>
      <c r="R240" s="18"/>
      <c r="S240" s="18"/>
      <c r="U240" s="18"/>
    </row>
    <row r="241" spans="1:21" x14ac:dyDescent="0.25">
      <c r="A241" s="36"/>
      <c r="B241" s="46"/>
      <c r="C241" s="149"/>
      <c r="D241" s="46" t="s">
        <v>347</v>
      </c>
      <c r="E241" s="46">
        <v>0.30913739000000001</v>
      </c>
      <c r="F241" s="153">
        <f t="shared" ref="F241:F293" si="9">(E241/$E$294)*100</f>
        <v>6.4618763083569512E-3</v>
      </c>
      <c r="R241" s="18"/>
      <c r="S241" s="18"/>
      <c r="U241" s="18"/>
    </row>
    <row r="242" spans="1:21" x14ac:dyDescent="0.25">
      <c r="A242" s="36"/>
      <c r="B242" s="46"/>
      <c r="C242" s="149"/>
      <c r="D242" s="46" t="s">
        <v>348</v>
      </c>
      <c r="E242" s="46">
        <v>0.30685637999999998</v>
      </c>
      <c r="F242" s="153">
        <f t="shared" si="9"/>
        <v>6.4141965227505404E-3</v>
      </c>
      <c r="R242" s="18"/>
      <c r="S242" s="18"/>
      <c r="U242" s="18"/>
    </row>
    <row r="243" spans="1:21" x14ac:dyDescent="0.25">
      <c r="A243" s="36"/>
      <c r="B243" s="46"/>
      <c r="C243" s="149"/>
      <c r="D243" s="46" t="s">
        <v>206</v>
      </c>
      <c r="E243" s="46">
        <v>0.28488563</v>
      </c>
      <c r="F243" s="153">
        <f t="shared" si="9"/>
        <v>5.9549435384970558E-3</v>
      </c>
      <c r="R243" s="18"/>
      <c r="S243" s="18"/>
      <c r="U243" s="18"/>
    </row>
    <row r="244" spans="1:21" x14ac:dyDescent="0.25">
      <c r="A244" s="36"/>
      <c r="B244" s="46"/>
      <c r="C244" s="149"/>
      <c r="D244" s="46" t="s">
        <v>98</v>
      </c>
      <c r="E244" s="46">
        <v>0.27987086999999999</v>
      </c>
      <c r="F244" s="153">
        <f t="shared" si="9"/>
        <v>5.8501203760963636E-3</v>
      </c>
      <c r="R244" s="18"/>
      <c r="S244" s="18"/>
      <c r="U244" s="18"/>
    </row>
    <row r="245" spans="1:21" x14ac:dyDescent="0.25">
      <c r="A245" s="36"/>
      <c r="B245" s="46"/>
      <c r="C245" s="149"/>
      <c r="D245" s="46" t="s">
        <v>185</v>
      </c>
      <c r="E245" s="46">
        <v>0.27021571</v>
      </c>
      <c r="F245" s="153">
        <f t="shared" si="9"/>
        <v>5.6482992710614926E-3</v>
      </c>
      <c r="R245" s="18"/>
      <c r="S245" s="18"/>
      <c r="U245" s="18"/>
    </row>
    <row r="246" spans="1:21" x14ac:dyDescent="0.25">
      <c r="A246" s="36"/>
      <c r="B246" s="46"/>
      <c r="C246" s="149"/>
      <c r="D246" s="46" t="s">
        <v>70</v>
      </c>
      <c r="E246" s="46">
        <v>0.26286265999999997</v>
      </c>
      <c r="F246" s="153">
        <f t="shared" si="9"/>
        <v>5.494599003393566E-3</v>
      </c>
      <c r="R246" s="18"/>
      <c r="S246" s="18"/>
      <c r="U246" s="18"/>
    </row>
    <row r="247" spans="1:21" x14ac:dyDescent="0.25">
      <c r="A247" s="36"/>
      <c r="B247" s="46"/>
      <c r="C247" s="149"/>
      <c r="D247" s="46" t="s">
        <v>33</v>
      </c>
      <c r="E247" s="46">
        <v>0.22682576999999998</v>
      </c>
      <c r="F247" s="153">
        <f t="shared" si="9"/>
        <v>4.7413225209924385E-3</v>
      </c>
      <c r="R247" s="18"/>
      <c r="S247" s="18"/>
      <c r="U247" s="18"/>
    </row>
    <row r="248" spans="1:21" x14ac:dyDescent="0.25">
      <c r="A248" s="36"/>
      <c r="B248" s="46"/>
      <c r="C248" s="149"/>
      <c r="D248" s="46" t="s">
        <v>169</v>
      </c>
      <c r="E248" s="46">
        <v>0.21817057000000001</v>
      </c>
      <c r="F248" s="153">
        <f t="shared" si="9"/>
        <v>4.560403506880006E-3</v>
      </c>
      <c r="R248" s="18"/>
      <c r="S248" s="18"/>
      <c r="U248" s="18"/>
    </row>
    <row r="249" spans="1:21" x14ac:dyDescent="0.25">
      <c r="A249" s="151"/>
      <c r="B249" s="141"/>
      <c r="C249" s="149"/>
      <c r="D249" s="46" t="s">
        <v>201</v>
      </c>
      <c r="E249" s="46">
        <v>0.21811025000000001</v>
      </c>
      <c r="F249" s="153">
        <f t="shared" si="9"/>
        <v>4.5591426423209815E-3</v>
      </c>
      <c r="R249" s="18"/>
      <c r="S249" s="18"/>
      <c r="U249" s="18"/>
    </row>
    <row r="250" spans="1:21" x14ac:dyDescent="0.25">
      <c r="A250" s="151"/>
      <c r="B250" s="141"/>
      <c r="C250" s="149"/>
      <c r="D250" s="46" t="s">
        <v>378</v>
      </c>
      <c r="E250" s="46">
        <v>0.21737495000000001</v>
      </c>
      <c r="F250" s="153">
        <f t="shared" si="9"/>
        <v>4.5437727200688246E-3</v>
      </c>
      <c r="R250" s="18"/>
      <c r="S250" s="18"/>
      <c r="U250" s="18"/>
    </row>
    <row r="251" spans="1:21" x14ac:dyDescent="0.25">
      <c r="A251" s="151"/>
      <c r="B251" s="141"/>
      <c r="C251" s="149"/>
      <c r="D251" s="46" t="s">
        <v>97</v>
      </c>
      <c r="E251" s="46">
        <v>0.20176585999999999</v>
      </c>
      <c r="F251" s="153">
        <f t="shared" si="9"/>
        <v>4.2174970506455578E-3</v>
      </c>
      <c r="R251" s="18"/>
      <c r="S251" s="18"/>
      <c r="U251" s="18"/>
    </row>
    <row r="252" spans="1:21" x14ac:dyDescent="0.25">
      <c r="A252" s="151"/>
      <c r="B252" s="141"/>
      <c r="C252" s="149"/>
      <c r="D252" s="46" t="s">
        <v>368</v>
      </c>
      <c r="E252" s="46">
        <v>0.19692256</v>
      </c>
      <c r="F252" s="153">
        <f t="shared" si="9"/>
        <v>4.1162579041150605E-3</v>
      </c>
    </row>
    <row r="253" spans="1:21" x14ac:dyDescent="0.25">
      <c r="A253" s="151"/>
      <c r="B253" s="141"/>
      <c r="C253" s="149"/>
      <c r="D253" s="46" t="s">
        <v>55</v>
      </c>
      <c r="E253" s="46">
        <v>0.18629699999999999</v>
      </c>
      <c r="F253" s="153">
        <f t="shared" si="9"/>
        <v>3.8941525986810428E-3</v>
      </c>
    </row>
    <row r="254" spans="1:21" x14ac:dyDescent="0.25">
      <c r="A254" s="151"/>
      <c r="B254" s="141"/>
      <c r="C254" s="149"/>
      <c r="D254" s="46" t="s">
        <v>49</v>
      </c>
      <c r="E254" s="46">
        <v>0.18598000000000001</v>
      </c>
      <c r="F254" s="153">
        <f t="shared" si="9"/>
        <v>3.887526370809516E-3</v>
      </c>
    </row>
    <row r="255" spans="1:21" x14ac:dyDescent="0.25">
      <c r="A255" s="151"/>
      <c r="B255" s="141"/>
      <c r="C255" s="149"/>
      <c r="D255" s="46" t="s">
        <v>379</v>
      </c>
      <c r="E255" s="46">
        <v>0.18172217000000002</v>
      </c>
      <c r="F255" s="153">
        <f t="shared" si="9"/>
        <v>3.7985252609728458E-3</v>
      </c>
    </row>
    <row r="256" spans="1:21" x14ac:dyDescent="0.25">
      <c r="A256" s="151"/>
      <c r="B256" s="141"/>
      <c r="C256" s="149"/>
      <c r="D256" s="46" t="s">
        <v>148</v>
      </c>
      <c r="E256" s="46">
        <v>0.18058164999999998</v>
      </c>
      <c r="F256" s="153">
        <f t="shared" si="9"/>
        <v>3.7746850546257339E-3</v>
      </c>
    </row>
    <row r="257" spans="1:6" x14ac:dyDescent="0.25">
      <c r="A257" s="151"/>
      <c r="B257" s="141"/>
      <c r="C257" s="149"/>
      <c r="D257" s="46" t="s">
        <v>41</v>
      </c>
      <c r="E257" s="46">
        <v>0.16778911999999999</v>
      </c>
      <c r="F257" s="153">
        <f t="shared" si="9"/>
        <v>3.5072837333848922E-3</v>
      </c>
    </row>
    <row r="258" spans="1:6" x14ac:dyDescent="0.25">
      <c r="A258" s="151"/>
      <c r="B258" s="141"/>
      <c r="C258" s="149"/>
      <c r="D258" s="46" t="s">
        <v>108</v>
      </c>
      <c r="E258" s="46">
        <v>0.16586561999999999</v>
      </c>
      <c r="F258" s="153">
        <f t="shared" si="9"/>
        <v>3.46707695322438E-3</v>
      </c>
    </row>
    <row r="259" spans="1:6" x14ac:dyDescent="0.25">
      <c r="A259" s="151"/>
      <c r="B259" s="141"/>
      <c r="C259" s="149"/>
      <c r="D259" s="46" t="s">
        <v>170</v>
      </c>
      <c r="E259" s="46">
        <v>0.16470551999999999</v>
      </c>
      <c r="F259" s="153">
        <f t="shared" si="9"/>
        <v>3.4428274675658353E-3</v>
      </c>
    </row>
    <row r="260" spans="1:6" x14ac:dyDescent="0.25">
      <c r="A260" s="151"/>
      <c r="B260" s="141"/>
      <c r="C260" s="149"/>
      <c r="D260" s="46" t="s">
        <v>60</v>
      </c>
      <c r="E260" s="46">
        <v>0.15539354</v>
      </c>
      <c r="F260" s="153">
        <f t="shared" si="9"/>
        <v>3.2481798290323869E-3</v>
      </c>
    </row>
    <row r="261" spans="1:6" x14ac:dyDescent="0.25">
      <c r="A261" s="151"/>
      <c r="B261" s="141"/>
      <c r="C261" s="149"/>
      <c r="D261" s="46" t="s">
        <v>35</v>
      </c>
      <c r="E261" s="46">
        <v>0.150675</v>
      </c>
      <c r="F261" s="153">
        <f t="shared" si="9"/>
        <v>3.1495485316793406E-3</v>
      </c>
    </row>
    <row r="262" spans="1:6" x14ac:dyDescent="0.25">
      <c r="A262" s="151"/>
      <c r="B262" s="141"/>
      <c r="C262" s="149"/>
      <c r="D262" s="46" t="s">
        <v>37</v>
      </c>
      <c r="E262" s="46">
        <v>0.13998427999999999</v>
      </c>
      <c r="F262" s="153">
        <f t="shared" si="9"/>
        <v>2.9260811915194267E-3</v>
      </c>
    </row>
    <row r="263" spans="1:6" x14ac:dyDescent="0.25">
      <c r="A263" s="151"/>
      <c r="B263" s="141"/>
      <c r="C263" s="149"/>
      <c r="D263" s="46" t="s">
        <v>139</v>
      </c>
      <c r="E263" s="46">
        <v>0.135522</v>
      </c>
      <c r="F263" s="153">
        <f t="shared" si="9"/>
        <v>2.8328064782495279E-3</v>
      </c>
    </row>
    <row r="264" spans="1:6" x14ac:dyDescent="0.25">
      <c r="A264" s="151"/>
      <c r="B264" s="141"/>
      <c r="C264" s="149"/>
      <c r="D264" s="46" t="s">
        <v>9</v>
      </c>
      <c r="E264" s="46">
        <v>0.11810117999999999</v>
      </c>
      <c r="F264" s="153">
        <f t="shared" si="9"/>
        <v>2.4686603488209553E-3</v>
      </c>
    </row>
    <row r="265" spans="1:6" x14ac:dyDescent="0.25">
      <c r="A265" s="151"/>
      <c r="B265" s="141"/>
      <c r="C265" s="149"/>
      <c r="D265" s="46" t="s">
        <v>199</v>
      </c>
      <c r="E265" s="46">
        <v>0.11754495</v>
      </c>
      <c r="F265" s="153">
        <f t="shared" si="9"/>
        <v>2.4570335137137646E-3</v>
      </c>
    </row>
    <row r="266" spans="1:6" x14ac:dyDescent="0.25">
      <c r="A266" s="151"/>
      <c r="B266" s="141"/>
      <c r="C266" s="149"/>
      <c r="D266" s="46" t="s">
        <v>47</v>
      </c>
      <c r="E266" s="46">
        <v>9.8816310000000004E-2</v>
      </c>
      <c r="F266" s="153">
        <f t="shared" si="9"/>
        <v>2.0655501182443707E-3</v>
      </c>
    </row>
    <row r="267" spans="1:6" x14ac:dyDescent="0.25">
      <c r="A267" s="151"/>
      <c r="B267" s="141"/>
      <c r="C267" s="149"/>
      <c r="D267" s="46" t="s">
        <v>152</v>
      </c>
      <c r="E267" s="46">
        <v>9.8431879999999999E-2</v>
      </c>
      <c r="F267" s="153">
        <f t="shared" si="9"/>
        <v>2.0575144060025687E-3</v>
      </c>
    </row>
    <row r="268" spans="1:6" x14ac:dyDescent="0.25">
      <c r="A268" s="151"/>
      <c r="B268" s="141"/>
      <c r="C268" s="149"/>
      <c r="D268" s="46" t="s">
        <v>371</v>
      </c>
      <c r="E268" s="46">
        <v>8.2422750000000003E-2</v>
      </c>
      <c r="F268" s="153">
        <f t="shared" si="9"/>
        <v>1.7228767296464137E-3</v>
      </c>
    </row>
    <row r="269" spans="1:6" x14ac:dyDescent="0.25">
      <c r="A269" s="151"/>
      <c r="B269" s="141"/>
      <c r="C269" s="149"/>
      <c r="D269" s="46" t="s">
        <v>154</v>
      </c>
      <c r="E269" s="46">
        <v>7.6059020000000005E-2</v>
      </c>
      <c r="F269" s="153">
        <f t="shared" si="9"/>
        <v>1.5898561457572233E-3</v>
      </c>
    </row>
    <row r="270" spans="1:6" x14ac:dyDescent="0.25">
      <c r="A270" s="151"/>
      <c r="B270" s="141"/>
      <c r="C270" s="149"/>
      <c r="D270" s="46" t="s">
        <v>56</v>
      </c>
      <c r="E270" s="46">
        <v>7.3871240000000005E-2</v>
      </c>
      <c r="F270" s="153">
        <f t="shared" si="9"/>
        <v>1.5441251400387071E-3</v>
      </c>
    </row>
    <row r="271" spans="1:6" x14ac:dyDescent="0.25">
      <c r="A271" s="151"/>
      <c r="B271" s="141"/>
      <c r="C271" s="149"/>
      <c r="D271" s="46" t="s">
        <v>78</v>
      </c>
      <c r="E271" s="46">
        <v>6.5783090000000002E-2</v>
      </c>
      <c r="F271" s="153">
        <f t="shared" si="9"/>
        <v>1.3750591307040312E-3</v>
      </c>
    </row>
    <row r="272" spans="1:6" x14ac:dyDescent="0.25">
      <c r="A272" s="151"/>
      <c r="B272" s="141"/>
      <c r="C272" s="149"/>
      <c r="D272" s="46" t="s">
        <v>61</v>
      </c>
      <c r="E272" s="46">
        <v>6.1950039999999998E-2</v>
      </c>
      <c r="F272" s="153">
        <f t="shared" si="9"/>
        <v>1.2949371662152075E-3</v>
      </c>
    </row>
    <row r="273" spans="1:20" x14ac:dyDescent="0.25">
      <c r="A273" s="151"/>
      <c r="B273" s="141"/>
      <c r="C273" s="149"/>
      <c r="D273" s="46" t="s">
        <v>203</v>
      </c>
      <c r="E273" s="46">
        <v>6.0263070000000002E-2</v>
      </c>
      <c r="F273" s="153">
        <f t="shared" si="9"/>
        <v>1.2596745553873523E-3</v>
      </c>
    </row>
    <row r="274" spans="1:20" x14ac:dyDescent="0.25">
      <c r="A274" s="151"/>
      <c r="B274" s="141"/>
      <c r="C274" s="149"/>
      <c r="D274" s="46" t="s">
        <v>3</v>
      </c>
      <c r="E274" s="46">
        <v>5.8340940000000001E-2</v>
      </c>
      <c r="F274" s="153">
        <f t="shared" si="9"/>
        <v>1.219496412236884E-3</v>
      </c>
    </row>
    <row r="275" spans="1:20" x14ac:dyDescent="0.25">
      <c r="A275" s="151"/>
      <c r="B275" s="141"/>
      <c r="C275" s="149"/>
      <c r="D275" s="46" t="s">
        <v>130</v>
      </c>
      <c r="E275" s="46">
        <v>5.0175070000000002E-2</v>
      </c>
      <c r="F275" s="153">
        <f t="shared" si="9"/>
        <v>1.048805827412697E-3</v>
      </c>
    </row>
    <row r="276" spans="1:20" x14ac:dyDescent="0.25">
      <c r="A276" s="151"/>
      <c r="B276" s="141"/>
      <c r="C276" s="149"/>
      <c r="D276" s="46" t="s">
        <v>46</v>
      </c>
      <c r="E276" s="46">
        <v>4.8611740000000001E-2</v>
      </c>
      <c r="F276" s="153">
        <f t="shared" si="9"/>
        <v>1.0161276544840077E-3</v>
      </c>
    </row>
    <row r="277" spans="1:20" x14ac:dyDescent="0.25">
      <c r="A277" s="151"/>
      <c r="B277" s="141"/>
      <c r="C277" s="149"/>
      <c r="D277" s="46" t="s">
        <v>57</v>
      </c>
      <c r="E277" s="46">
        <v>2.110213E-2</v>
      </c>
      <c r="F277" s="153">
        <f t="shared" si="9"/>
        <v>4.4109628376841922E-4</v>
      </c>
    </row>
    <row r="278" spans="1:20" x14ac:dyDescent="0.25">
      <c r="A278" s="151"/>
      <c r="B278" s="141"/>
      <c r="C278" s="149"/>
      <c r="D278" s="46" t="s">
        <v>363</v>
      </c>
      <c r="E278" s="46">
        <v>1.99848E-2</v>
      </c>
      <c r="F278" s="153">
        <f t="shared" si="9"/>
        <v>4.1774081629935482E-4</v>
      </c>
    </row>
    <row r="279" spans="1:20" x14ac:dyDescent="0.25">
      <c r="A279" s="151"/>
      <c r="B279" s="141"/>
      <c r="C279" s="149"/>
      <c r="D279" s="46" t="s">
        <v>77</v>
      </c>
      <c r="E279" s="46">
        <v>1.8832000000000002E-2</v>
      </c>
      <c r="F279" s="153">
        <f t="shared" si="9"/>
        <v>3.9364392200819874E-4</v>
      </c>
    </row>
    <row r="280" spans="1:20" x14ac:dyDescent="0.25">
      <c r="A280" s="151"/>
      <c r="B280" s="141"/>
      <c r="C280" s="149"/>
      <c r="D280" s="46" t="s">
        <v>216</v>
      </c>
      <c r="E280" s="46">
        <v>1.7807169999999997E-2</v>
      </c>
      <c r="F280" s="153">
        <f t="shared" si="9"/>
        <v>3.7222197529028966E-4</v>
      </c>
    </row>
    <row r="281" spans="1:20" x14ac:dyDescent="0.25">
      <c r="A281" s="151"/>
      <c r="B281" s="141"/>
      <c r="C281" s="149"/>
      <c r="D281" s="46" t="s">
        <v>7</v>
      </c>
      <c r="E281" s="46">
        <v>1.5201020000000001E-2</v>
      </c>
      <c r="F281" s="153">
        <f t="shared" si="9"/>
        <v>3.1774581198625046E-4</v>
      </c>
    </row>
    <row r="282" spans="1:20" x14ac:dyDescent="0.25">
      <c r="A282" s="151"/>
      <c r="B282" s="141"/>
      <c r="C282" s="149"/>
      <c r="D282" s="46" t="s">
        <v>376</v>
      </c>
      <c r="E282" s="46">
        <v>1.184723E-2</v>
      </c>
      <c r="F282" s="153">
        <f t="shared" si="9"/>
        <v>2.4764178431038616E-4</v>
      </c>
    </row>
    <row r="283" spans="1:20" x14ac:dyDescent="0.25">
      <c r="A283" s="151"/>
      <c r="B283" s="141"/>
      <c r="C283" s="149"/>
      <c r="D283" s="46" t="s">
        <v>364</v>
      </c>
      <c r="E283" s="46">
        <v>9.4182399999999996E-3</v>
      </c>
      <c r="F283" s="153">
        <f t="shared" si="9"/>
        <v>1.9686878356066787E-4</v>
      </c>
    </row>
    <row r="284" spans="1:20" x14ac:dyDescent="0.25">
      <c r="A284" s="151"/>
      <c r="B284" s="141"/>
      <c r="C284" s="149"/>
      <c r="D284" s="46" t="s">
        <v>399</v>
      </c>
      <c r="E284" s="46">
        <v>8.28746E-3</v>
      </c>
      <c r="F284" s="153">
        <f t="shared" si="9"/>
        <v>1.7323217172292196E-4</v>
      </c>
    </row>
    <row r="285" spans="1:20" x14ac:dyDescent="0.25">
      <c r="A285" s="151"/>
      <c r="B285" s="141"/>
      <c r="C285" s="149"/>
      <c r="D285" s="46" t="s">
        <v>374</v>
      </c>
      <c r="E285" s="46">
        <v>4.1999999999999997E-3</v>
      </c>
      <c r="F285" s="153">
        <f t="shared" si="9"/>
        <v>8.7792293565974646E-5</v>
      </c>
    </row>
    <row r="286" spans="1:20" s="11" customFormat="1" ht="13" x14ac:dyDescent="0.3">
      <c r="A286" s="151"/>
      <c r="B286" s="141"/>
      <c r="C286" s="149"/>
      <c r="D286" s="46" t="s">
        <v>34</v>
      </c>
      <c r="E286" s="46">
        <v>3.0782600000000002E-3</v>
      </c>
      <c r="F286" s="153">
        <f t="shared" si="9"/>
        <v>6.4344644188665985E-5</v>
      </c>
      <c r="P286" s="91"/>
      <c r="Q286" s="91"/>
      <c r="T286" s="91"/>
    </row>
    <row r="287" spans="1:20" x14ac:dyDescent="0.25">
      <c r="A287" s="151"/>
      <c r="B287" s="141"/>
      <c r="C287" s="149"/>
      <c r="D287" s="46" t="s">
        <v>367</v>
      </c>
      <c r="E287" s="46">
        <v>1.6801199999999998E-3</v>
      </c>
      <c r="F287" s="153">
        <f t="shared" si="9"/>
        <v>3.5119425777634599E-5</v>
      </c>
    </row>
    <row r="288" spans="1:20" x14ac:dyDescent="0.25">
      <c r="A288" s="151"/>
      <c r="B288" s="141"/>
      <c r="C288" s="149"/>
      <c r="D288" s="46" t="s">
        <v>42</v>
      </c>
      <c r="E288" s="46">
        <v>7.4508000000000007E-4</v>
      </c>
      <c r="F288" s="153">
        <f t="shared" si="9"/>
        <v>1.5574352878603905E-5</v>
      </c>
    </row>
    <row r="289" spans="1:6" x14ac:dyDescent="0.25">
      <c r="A289" s="151"/>
      <c r="B289" s="141"/>
      <c r="C289" s="149"/>
      <c r="D289" s="46" t="s">
        <v>51</v>
      </c>
      <c r="E289" s="46">
        <v>5.0681999999999995E-4</v>
      </c>
      <c r="F289" s="153">
        <f t="shared" si="9"/>
        <v>1.0594021482168397E-5</v>
      </c>
    </row>
    <row r="290" spans="1:6" x14ac:dyDescent="0.25">
      <c r="A290" s="151"/>
      <c r="B290" s="51"/>
      <c r="C290" s="148">
        <f>(B290/$B$294)*100</f>
        <v>0</v>
      </c>
      <c r="D290" s="46" t="s">
        <v>366</v>
      </c>
      <c r="E290" s="46">
        <v>3.8745000000000001E-4</v>
      </c>
      <c r="F290" s="153">
        <f t="shared" si="9"/>
        <v>8.0988390814611621E-6</v>
      </c>
    </row>
    <row r="291" spans="1:6" x14ac:dyDescent="0.25">
      <c r="A291" s="151"/>
      <c r="B291" s="51"/>
      <c r="C291" s="148">
        <f t="shared" ref="C291:C293" si="10">(B291/$B$294)*100</f>
        <v>0</v>
      </c>
      <c r="D291" s="46" t="s">
        <v>373</v>
      </c>
      <c r="E291" s="46">
        <v>3.7550000000000002E-4</v>
      </c>
      <c r="F291" s="153">
        <f t="shared" si="9"/>
        <v>7.8490491033389255E-6</v>
      </c>
    </row>
    <row r="292" spans="1:6" x14ac:dyDescent="0.25">
      <c r="A292" s="151"/>
      <c r="B292" s="51"/>
      <c r="C292" s="148">
        <f t="shared" si="10"/>
        <v>0</v>
      </c>
      <c r="D292" s="46" t="s">
        <v>401</v>
      </c>
      <c r="E292" s="46">
        <v>1.749E-4</v>
      </c>
      <c r="F292" s="153">
        <f t="shared" si="9"/>
        <v>3.6559219392116584E-6</v>
      </c>
    </row>
    <row r="293" spans="1:6" x14ac:dyDescent="0.25">
      <c r="A293" s="151"/>
      <c r="B293" s="51"/>
      <c r="C293" s="148">
        <f t="shared" si="10"/>
        <v>0</v>
      </c>
      <c r="D293" s="46" t="s">
        <v>65</v>
      </c>
      <c r="E293" s="46">
        <v>8.9090000000000003E-5</v>
      </c>
      <c r="F293" s="153">
        <f t="shared" si="9"/>
        <v>1.8622417699506384E-6</v>
      </c>
    </row>
    <row r="294" spans="1:6" x14ac:dyDescent="0.25">
      <c r="A294" s="151"/>
      <c r="B294" s="293">
        <f>SUM(B48:B293)</f>
        <v>5015.9378342799973</v>
      </c>
      <c r="C294" s="294">
        <f>SUM(C48:C293)</f>
        <v>100</v>
      </c>
      <c r="D294" s="152"/>
      <c r="E294" s="293">
        <f>SUM(E48:E293)</f>
        <v>4784.0189946099999</v>
      </c>
      <c r="F294" s="295">
        <f>SUM(F48:F293)</f>
        <v>99.999999999999957</v>
      </c>
    </row>
  </sheetData>
  <sortState xmlns:xlrd2="http://schemas.microsoft.com/office/spreadsheetml/2017/richdata2" ref="T1:U251">
    <sortCondition descending="1" ref="U1:U251"/>
  </sortState>
  <mergeCells count="4">
    <mergeCell ref="A46:F46"/>
    <mergeCell ref="A1:J1"/>
    <mergeCell ref="A2:K2"/>
    <mergeCell ref="A9:F9"/>
  </mergeCells>
  <hyperlinks>
    <hyperlink ref="M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CF2E-B45C-4C3F-9389-4CCA17A5BDB8}">
  <dimension ref="A1:J269"/>
  <sheetViews>
    <sheetView workbookViewId="0">
      <selection activeCell="H265" sqref="H265"/>
    </sheetView>
  </sheetViews>
  <sheetFormatPr defaultRowHeight="14.5" x14ac:dyDescent="0.35"/>
  <cols>
    <col min="1" max="1" width="26.36328125" bestFit="1" customWidth="1"/>
    <col min="2" max="2" width="9.08984375" bestFit="1" customWidth="1"/>
    <col min="3" max="3" width="9.08984375" customWidth="1"/>
    <col min="4" max="4" width="26.36328125" bestFit="1" customWidth="1"/>
    <col min="5" max="5" width="9.08984375" bestFit="1" customWidth="1"/>
  </cols>
  <sheetData>
    <row r="1" spans="1:10" x14ac:dyDescent="0.35">
      <c r="A1" s="639" t="s">
        <v>705</v>
      </c>
      <c r="B1" s="639"/>
      <c r="C1" s="639"/>
      <c r="D1" s="639"/>
      <c r="E1" s="639"/>
      <c r="F1" s="639"/>
      <c r="G1" s="639"/>
      <c r="H1" s="639"/>
      <c r="I1" s="639"/>
      <c r="J1" s="639"/>
    </row>
    <row r="2" spans="1:10" x14ac:dyDescent="0.35">
      <c r="A2" s="594" t="s">
        <v>699</v>
      </c>
      <c r="B2" s="645"/>
      <c r="C2" s="645"/>
      <c r="D2" s="645"/>
      <c r="E2" s="645"/>
      <c r="F2" s="646"/>
    </row>
    <row r="3" spans="1:10" x14ac:dyDescent="0.35">
      <c r="A3" s="26" t="s">
        <v>244</v>
      </c>
      <c r="B3" s="26" t="s">
        <v>290</v>
      </c>
      <c r="C3" s="26" t="s">
        <v>234</v>
      </c>
      <c r="D3" s="26" t="s">
        <v>424</v>
      </c>
      <c r="E3" s="26" t="s">
        <v>289</v>
      </c>
      <c r="F3" s="26" t="s">
        <v>234</v>
      </c>
    </row>
    <row r="4" spans="1:10" x14ac:dyDescent="0.35">
      <c r="A4" s="477" t="s">
        <v>235</v>
      </c>
      <c r="B4" s="418">
        <v>2582.4099248699999</v>
      </c>
      <c r="C4" s="478">
        <f>(B4/$B$18)*100</f>
        <v>52.281447270894375</v>
      </c>
      <c r="D4" s="477" t="s">
        <v>235</v>
      </c>
      <c r="E4" s="418">
        <v>3509.7632255800399</v>
      </c>
      <c r="F4" s="478">
        <f>(E4/$E$18)*100</f>
        <v>74.714559140629859</v>
      </c>
    </row>
    <row r="5" spans="1:10" x14ac:dyDescent="0.35">
      <c r="A5" s="21" t="s">
        <v>247</v>
      </c>
      <c r="B5" s="46">
        <v>1080.45912632</v>
      </c>
      <c r="C5" s="479">
        <f t="shared" ref="C5:C17" si="0">(B5/$B$18)*100</f>
        <v>21.874128618019203</v>
      </c>
      <c r="D5" s="21" t="s">
        <v>247</v>
      </c>
      <c r="E5" s="46">
        <v>841.92504432000101</v>
      </c>
      <c r="F5" s="149">
        <f t="shared" ref="F5:F17" si="1">(E5/$E$18)*100</f>
        <v>17.922593198698845</v>
      </c>
    </row>
    <row r="6" spans="1:10" x14ac:dyDescent="0.35">
      <c r="A6" s="480" t="s">
        <v>245</v>
      </c>
      <c r="B6" s="419">
        <v>775.57119574000001</v>
      </c>
      <c r="C6" s="481">
        <f t="shared" si="0"/>
        <v>15.701606543719631</v>
      </c>
      <c r="D6" s="480" t="s">
        <v>700</v>
      </c>
      <c r="E6" s="419">
        <v>216.91952978</v>
      </c>
      <c r="F6" s="482">
        <f t="shared" si="1"/>
        <v>4.6177038149993663</v>
      </c>
    </row>
    <row r="7" spans="1:10" x14ac:dyDescent="0.35">
      <c r="A7" s="21" t="s">
        <v>700</v>
      </c>
      <c r="B7" s="46">
        <v>317.32390033999997</v>
      </c>
      <c r="C7" s="479">
        <f t="shared" si="0"/>
        <v>6.4242909708672258</v>
      </c>
      <c r="D7" s="21" t="s">
        <v>438</v>
      </c>
      <c r="E7" s="46">
        <v>50.341594700000002</v>
      </c>
      <c r="F7" s="149">
        <f t="shared" si="1"/>
        <v>1.0716535027302783</v>
      </c>
    </row>
    <row r="8" spans="1:10" x14ac:dyDescent="0.35">
      <c r="A8" s="480" t="s">
        <v>254</v>
      </c>
      <c r="B8" s="419">
        <v>70.514455440000106</v>
      </c>
      <c r="C8" s="481">
        <f t="shared" si="0"/>
        <v>1.4275803962873099</v>
      </c>
      <c r="D8" s="480" t="s">
        <v>245</v>
      </c>
      <c r="E8" s="419">
        <v>27.77290202</v>
      </c>
      <c r="F8" s="482">
        <f t="shared" si="1"/>
        <v>0.59121940629977332</v>
      </c>
    </row>
    <row r="9" spans="1:10" x14ac:dyDescent="0.35">
      <c r="A9" s="21" t="s">
        <v>253</v>
      </c>
      <c r="B9" s="46">
        <v>54.780342189999999</v>
      </c>
      <c r="C9" s="479">
        <f t="shared" si="0"/>
        <v>1.1090398716742118</v>
      </c>
      <c r="D9" s="21" t="s">
        <v>253</v>
      </c>
      <c r="E9" s="46">
        <v>25.568096409999999</v>
      </c>
      <c r="F9" s="149">
        <f t="shared" si="1"/>
        <v>0.54428430881475331</v>
      </c>
    </row>
    <row r="10" spans="1:10" x14ac:dyDescent="0.35">
      <c r="A10" s="480" t="s">
        <v>258</v>
      </c>
      <c r="B10" s="419">
        <v>53.390624869999996</v>
      </c>
      <c r="C10" s="481">
        <f t="shared" si="0"/>
        <v>1.0809047440605406</v>
      </c>
      <c r="D10" s="480" t="s">
        <v>254</v>
      </c>
      <c r="E10" s="419">
        <v>15.48368082</v>
      </c>
      <c r="F10" s="482">
        <f t="shared" si="1"/>
        <v>0.32961094865575696</v>
      </c>
    </row>
    <row r="11" spans="1:10" x14ac:dyDescent="0.35">
      <c r="A11" s="21" t="s">
        <v>273</v>
      </c>
      <c r="B11" s="46">
        <v>1.77636273</v>
      </c>
      <c r="C11" s="479">
        <f t="shared" si="0"/>
        <v>3.596284753558332E-2</v>
      </c>
      <c r="D11" s="21" t="s">
        <v>273</v>
      </c>
      <c r="E11" s="46">
        <v>3.7447196699999998</v>
      </c>
      <c r="F11" s="149">
        <f t="shared" si="1"/>
        <v>7.9716226214392671E-2</v>
      </c>
    </row>
    <row r="12" spans="1:10" x14ac:dyDescent="0.35">
      <c r="A12" s="480" t="s">
        <v>265</v>
      </c>
      <c r="B12" s="419">
        <v>1.5338419999999999</v>
      </c>
      <c r="C12" s="481">
        <f t="shared" si="0"/>
        <v>3.1052962921415374E-2</v>
      </c>
      <c r="D12" s="480" t="s">
        <v>238</v>
      </c>
      <c r="E12" s="419">
        <v>2.9172197400000002</v>
      </c>
      <c r="F12" s="482">
        <f t="shared" si="1"/>
        <v>6.2100709586875913E-2</v>
      </c>
    </row>
    <row r="13" spans="1:10" x14ac:dyDescent="0.35">
      <c r="A13" s="21" t="s">
        <v>438</v>
      </c>
      <c r="B13" s="46">
        <v>1.5077424399999999</v>
      </c>
      <c r="C13" s="479">
        <f t="shared" si="0"/>
        <v>3.0524571686239094E-2</v>
      </c>
      <c r="D13" s="21" t="s">
        <v>271</v>
      </c>
      <c r="E13" s="46">
        <v>1.33748475</v>
      </c>
      <c r="F13" s="149">
        <f t="shared" si="1"/>
        <v>2.8471887426836526E-2</v>
      </c>
    </row>
    <row r="14" spans="1:10" x14ac:dyDescent="0.35">
      <c r="A14" s="480" t="s">
        <v>274</v>
      </c>
      <c r="B14" s="419">
        <v>0.1706</v>
      </c>
      <c r="C14" s="481">
        <f t="shared" si="0"/>
        <v>3.4538338853633316E-3</v>
      </c>
      <c r="D14" s="480" t="s">
        <v>258</v>
      </c>
      <c r="E14" s="419">
        <v>0.95889985999999994</v>
      </c>
      <c r="F14" s="482">
        <f t="shared" si="1"/>
        <v>2.0412710401019007E-2</v>
      </c>
    </row>
    <row r="15" spans="1:10" x14ac:dyDescent="0.35">
      <c r="A15" s="21" t="s">
        <v>268</v>
      </c>
      <c r="B15" s="46">
        <v>3.3395999999999995E-4</v>
      </c>
      <c r="C15" s="479">
        <f t="shared" si="0"/>
        <v>6.7610924053689225E-6</v>
      </c>
      <c r="D15" s="21" t="s">
        <v>265</v>
      </c>
      <c r="E15" s="46">
        <v>0.83025406000000002</v>
      </c>
      <c r="F15" s="149">
        <f t="shared" si="1"/>
        <v>1.7674145542215698E-2</v>
      </c>
    </row>
    <row r="16" spans="1:10" x14ac:dyDescent="0.35">
      <c r="A16" s="480" t="s">
        <v>271</v>
      </c>
      <c r="B16" s="419">
        <v>3.0000000000000001E-5</v>
      </c>
      <c r="C16" s="481">
        <f t="shared" si="0"/>
        <v>6.0735648628897981E-7</v>
      </c>
      <c r="D16" s="480" t="s">
        <v>268</v>
      </c>
      <c r="E16" s="419">
        <v>0</v>
      </c>
      <c r="F16" s="482">
        <f t="shared" si="1"/>
        <v>0</v>
      </c>
    </row>
    <row r="17" spans="1:6" x14ac:dyDescent="0.35">
      <c r="A17" s="21" t="s">
        <v>238</v>
      </c>
      <c r="B17" s="46">
        <v>0</v>
      </c>
      <c r="C17" s="479">
        <f t="shared" si="0"/>
        <v>0</v>
      </c>
      <c r="D17" s="21" t="s">
        <v>274</v>
      </c>
      <c r="E17" s="46">
        <v>0</v>
      </c>
      <c r="F17" s="149">
        <f t="shared" si="1"/>
        <v>0</v>
      </c>
    </row>
    <row r="18" spans="1:6" s="483" customFormat="1" x14ac:dyDescent="0.35">
      <c r="A18" s="484" t="s">
        <v>217</v>
      </c>
      <c r="B18" s="485">
        <f>SUM(B4:B17)</f>
        <v>4939.4384809000003</v>
      </c>
      <c r="C18" s="486">
        <f>SUM(C4:C17)</f>
        <v>100</v>
      </c>
      <c r="D18" s="484" t="s">
        <v>217</v>
      </c>
      <c r="E18" s="485">
        <f t="shared" ref="E18" si="2">SUM(E4:E17)</f>
        <v>4697.5626517100418</v>
      </c>
      <c r="F18" s="487">
        <f>SUM(F4:F17)</f>
        <v>99.999999999999957</v>
      </c>
    </row>
    <row r="21" spans="1:6" x14ac:dyDescent="0.35">
      <c r="A21" s="594" t="s">
        <v>701</v>
      </c>
      <c r="B21" s="645"/>
      <c r="C21" s="645"/>
      <c r="D21" s="645"/>
      <c r="E21" s="645"/>
      <c r="F21" s="646"/>
    </row>
    <row r="22" spans="1:6" x14ac:dyDescent="0.35">
      <c r="A22" s="26" t="s">
        <v>423</v>
      </c>
      <c r="B22" s="26" t="s">
        <v>290</v>
      </c>
      <c r="C22" s="26" t="s">
        <v>234</v>
      </c>
      <c r="D22" s="26" t="s">
        <v>423</v>
      </c>
      <c r="E22" s="26" t="s">
        <v>289</v>
      </c>
      <c r="F22" s="26" t="s">
        <v>234</v>
      </c>
    </row>
    <row r="23" spans="1:6" x14ac:dyDescent="0.35">
      <c r="A23" s="418" t="s">
        <v>216</v>
      </c>
      <c r="B23" s="418">
        <v>1806.82536009</v>
      </c>
      <c r="C23" s="478">
        <f t="shared" ref="C23:C54" si="3">(B23/$B$269)*100</f>
        <v>36.579570068069437</v>
      </c>
      <c r="D23" s="418" t="s">
        <v>52</v>
      </c>
      <c r="E23" s="418">
        <v>799.58597953999993</v>
      </c>
      <c r="F23" s="478">
        <f t="shared" ref="F23:F86" si="4">(E23/$E$269)*100</f>
        <v>17.021294633482675</v>
      </c>
    </row>
    <row r="24" spans="1:6" x14ac:dyDescent="0.35">
      <c r="A24" s="46" t="s">
        <v>8</v>
      </c>
      <c r="B24" s="46">
        <v>605.77872327</v>
      </c>
      <c r="C24" s="149">
        <f t="shared" si="3"/>
        <v>12.26412122779638</v>
      </c>
      <c r="D24" s="46" t="s">
        <v>54</v>
      </c>
      <c r="E24" s="46">
        <v>217.07147369</v>
      </c>
      <c r="F24" s="149">
        <f t="shared" si="4"/>
        <v>4.6209383415244529</v>
      </c>
    </row>
    <row r="25" spans="1:6" x14ac:dyDescent="0.35">
      <c r="A25" s="419" t="s">
        <v>121</v>
      </c>
      <c r="B25" s="419">
        <v>548.46176912999999</v>
      </c>
      <c r="C25" s="482">
        <f t="shared" si="3"/>
        <v>11.103727098754481</v>
      </c>
      <c r="D25" s="419" t="s">
        <v>30</v>
      </c>
      <c r="E25" s="419">
        <v>210.62755003999999</v>
      </c>
      <c r="F25" s="482">
        <f t="shared" si="4"/>
        <v>4.4837624456871872</v>
      </c>
    </row>
    <row r="26" spans="1:6" x14ac:dyDescent="0.35">
      <c r="A26" s="46" t="s">
        <v>62</v>
      </c>
      <c r="B26" s="46">
        <v>369.68280737999999</v>
      </c>
      <c r="C26" s="149">
        <f t="shared" si="3"/>
        <v>7.484308364392084</v>
      </c>
      <c r="D26" s="46" t="s">
        <v>179</v>
      </c>
      <c r="E26" s="46">
        <v>144.35275904</v>
      </c>
      <c r="F26" s="149">
        <f t="shared" si="4"/>
        <v>3.0729288727517674</v>
      </c>
    </row>
    <row r="27" spans="1:6" x14ac:dyDescent="0.35">
      <c r="A27" s="419" t="s">
        <v>46</v>
      </c>
      <c r="B27" s="419">
        <v>178.65173816000001</v>
      </c>
      <c r="C27" s="482">
        <f t="shared" si="3"/>
        <v>3.6168430652758814</v>
      </c>
      <c r="D27" s="419" t="s">
        <v>21</v>
      </c>
      <c r="E27" s="419">
        <v>111.94786298999999</v>
      </c>
      <c r="F27" s="482">
        <f t="shared" si="4"/>
        <v>2.3831052673506976</v>
      </c>
    </row>
    <row r="28" spans="1:6" x14ac:dyDescent="0.35">
      <c r="A28" s="46" t="s">
        <v>85</v>
      </c>
      <c r="B28" s="46">
        <v>152.80880827000001</v>
      </c>
      <c r="C28" s="149">
        <f t="shared" si="3"/>
        <v>3.0936473621624532</v>
      </c>
      <c r="D28" s="46" t="s">
        <v>12</v>
      </c>
      <c r="E28" s="46">
        <v>96.86951569</v>
      </c>
      <c r="F28" s="149">
        <f t="shared" si="4"/>
        <v>2.0621229107979602</v>
      </c>
    </row>
    <row r="29" spans="1:6" x14ac:dyDescent="0.35">
      <c r="A29" s="419" t="s">
        <v>54</v>
      </c>
      <c r="B29" s="419">
        <v>118.22631523</v>
      </c>
      <c r="C29" s="482">
        <f t="shared" si="3"/>
        <v>2.3935173134995362</v>
      </c>
      <c r="D29" s="419" t="s">
        <v>28</v>
      </c>
      <c r="E29" s="419">
        <v>93.184795880000095</v>
      </c>
      <c r="F29" s="482">
        <f t="shared" si="4"/>
        <v>1.9836839397145496</v>
      </c>
    </row>
    <row r="30" spans="1:6" x14ac:dyDescent="0.35">
      <c r="A30" s="46" t="s">
        <v>96</v>
      </c>
      <c r="B30" s="46">
        <v>115.73619854</v>
      </c>
      <c r="C30" s="149">
        <f t="shared" si="3"/>
        <v>2.3431043627232717</v>
      </c>
      <c r="D30" s="46" t="s">
        <v>83</v>
      </c>
      <c r="E30" s="46">
        <v>87.241340119999904</v>
      </c>
      <c r="F30" s="149">
        <f t="shared" si="4"/>
        <v>1.8571618217426547</v>
      </c>
    </row>
    <row r="31" spans="1:6" x14ac:dyDescent="0.35">
      <c r="A31" s="419" t="s">
        <v>0</v>
      </c>
      <c r="B31" s="419">
        <v>96.037143</v>
      </c>
      <c r="C31" s="482">
        <f t="shared" si="3"/>
        <v>1.9442927241904095</v>
      </c>
      <c r="D31" s="419" t="s">
        <v>27</v>
      </c>
      <c r="E31" s="419">
        <v>78.719829910000001</v>
      </c>
      <c r="F31" s="482">
        <f t="shared" si="4"/>
        <v>1.6757590211456703</v>
      </c>
    </row>
    <row r="32" spans="1:6" x14ac:dyDescent="0.35">
      <c r="A32" s="46" t="s">
        <v>30</v>
      </c>
      <c r="B32" s="46">
        <v>82.33968204</v>
      </c>
      <c r="C32" s="149">
        <f t="shared" si="3"/>
        <v>1.6669846655322069</v>
      </c>
      <c r="D32" s="46" t="s">
        <v>208</v>
      </c>
      <c r="E32" s="46">
        <v>75.532615719999995</v>
      </c>
      <c r="F32" s="149">
        <f t="shared" si="4"/>
        <v>1.6079107682045453</v>
      </c>
    </row>
    <row r="33" spans="1:6" x14ac:dyDescent="0.35">
      <c r="A33" s="419" t="s">
        <v>101</v>
      </c>
      <c r="B33" s="419">
        <v>72.816993980000007</v>
      </c>
      <c r="C33" s="482">
        <f t="shared" si="3"/>
        <v>1.4741957868606199</v>
      </c>
      <c r="D33" s="419" t="s">
        <v>106</v>
      </c>
      <c r="E33" s="419">
        <v>72.368356750000004</v>
      </c>
      <c r="F33" s="482">
        <f t="shared" si="4"/>
        <v>1.5405511776124294</v>
      </c>
    </row>
    <row r="34" spans="1:6" x14ac:dyDescent="0.35">
      <c r="A34" s="46" t="s">
        <v>127</v>
      </c>
      <c r="B34" s="46">
        <v>53.30569552</v>
      </c>
      <c r="C34" s="149">
        <f t="shared" si="3"/>
        <v>1.079185331007247</v>
      </c>
      <c r="D34" s="46" t="s">
        <v>15</v>
      </c>
      <c r="E34" s="46">
        <v>69.147407739999991</v>
      </c>
      <c r="F34" s="149">
        <f t="shared" si="4"/>
        <v>1.4719847901300287</v>
      </c>
    </row>
    <row r="35" spans="1:6" x14ac:dyDescent="0.35">
      <c r="A35" s="419" t="s">
        <v>138</v>
      </c>
      <c r="B35" s="419">
        <v>43.233741509999994</v>
      </c>
      <c r="C35" s="482">
        <f t="shared" si="3"/>
        <v>0.87527644442132024</v>
      </c>
      <c r="D35" s="419" t="s">
        <v>84</v>
      </c>
      <c r="E35" s="419">
        <v>69.034258040000097</v>
      </c>
      <c r="F35" s="482">
        <f t="shared" si="4"/>
        <v>1.4695761005948567</v>
      </c>
    </row>
    <row r="36" spans="1:6" x14ac:dyDescent="0.35">
      <c r="A36" s="46" t="s">
        <v>2</v>
      </c>
      <c r="B36" s="46">
        <v>41.755172819999999</v>
      </c>
      <c r="C36" s="149">
        <f t="shared" si="3"/>
        <v>0.84534250161147695</v>
      </c>
      <c r="D36" s="46" t="s">
        <v>66</v>
      </c>
      <c r="E36" s="46">
        <v>68.728430419999995</v>
      </c>
      <c r="F36" s="149">
        <f t="shared" si="4"/>
        <v>1.4630657537900349</v>
      </c>
    </row>
    <row r="37" spans="1:6" x14ac:dyDescent="0.35">
      <c r="A37" s="419" t="s">
        <v>125</v>
      </c>
      <c r="B37" s="419">
        <v>41.72637872</v>
      </c>
      <c r="C37" s="482">
        <f t="shared" si="3"/>
        <v>0.84475955883141518</v>
      </c>
      <c r="D37" s="419" t="s">
        <v>81</v>
      </c>
      <c r="E37" s="419">
        <v>67.755661239999995</v>
      </c>
      <c r="F37" s="482">
        <f t="shared" si="4"/>
        <v>1.442357798364557</v>
      </c>
    </row>
    <row r="38" spans="1:6" x14ac:dyDescent="0.35">
      <c r="A38" s="46" t="s">
        <v>48</v>
      </c>
      <c r="B38" s="46">
        <v>41.287197049999996</v>
      </c>
      <c r="C38" s="149">
        <f t="shared" si="3"/>
        <v>0.83586823096695761</v>
      </c>
      <c r="D38" s="46" t="s">
        <v>105</v>
      </c>
      <c r="E38" s="46">
        <v>66.139571079999996</v>
      </c>
      <c r="F38" s="149">
        <f t="shared" si="4"/>
        <v>1.4079550606083779</v>
      </c>
    </row>
    <row r="39" spans="1:6" x14ac:dyDescent="0.35">
      <c r="A39" s="419" t="s">
        <v>28</v>
      </c>
      <c r="B39" s="419">
        <v>36.82841449</v>
      </c>
      <c r="C39" s="482">
        <f t="shared" si="3"/>
        <v>0.74559921400801821</v>
      </c>
      <c r="D39" s="419" t="s">
        <v>96</v>
      </c>
      <c r="E39" s="419">
        <v>63.552918079999998</v>
      </c>
      <c r="F39" s="482">
        <f t="shared" si="4"/>
        <v>1.3528913351877407</v>
      </c>
    </row>
    <row r="40" spans="1:6" x14ac:dyDescent="0.35">
      <c r="A40" s="46" t="s">
        <v>55</v>
      </c>
      <c r="B40" s="46">
        <v>36.77217383</v>
      </c>
      <c r="C40" s="149">
        <f t="shared" si="3"/>
        <v>0.74446060968654582</v>
      </c>
      <c r="D40" s="46" t="s">
        <v>62</v>
      </c>
      <c r="E40" s="46">
        <v>56.541474810000004</v>
      </c>
      <c r="F40" s="149">
        <f t="shared" si="4"/>
        <v>1.2036342887181699</v>
      </c>
    </row>
    <row r="41" spans="1:6" x14ac:dyDescent="0.35">
      <c r="A41" s="419" t="s">
        <v>184</v>
      </c>
      <c r="B41" s="419">
        <v>35.248990509999999</v>
      </c>
      <c r="C41" s="482">
        <f t="shared" si="3"/>
        <v>0.71362343404623974</v>
      </c>
      <c r="D41" s="419" t="s">
        <v>355</v>
      </c>
      <c r="E41" s="419">
        <v>54.894878299999995</v>
      </c>
      <c r="F41" s="482">
        <f t="shared" si="4"/>
        <v>1.1685821429122887</v>
      </c>
    </row>
    <row r="42" spans="1:6" x14ac:dyDescent="0.35">
      <c r="A42" s="46" t="s">
        <v>11</v>
      </c>
      <c r="B42" s="46">
        <v>32.673270719999998</v>
      </c>
      <c r="C42" s="149">
        <f t="shared" si="3"/>
        <v>0.66147743000226011</v>
      </c>
      <c r="D42" s="46" t="s">
        <v>138</v>
      </c>
      <c r="E42" s="46">
        <v>52.706987219999903</v>
      </c>
      <c r="F42" s="149">
        <f t="shared" si="4"/>
        <v>1.1220071157712741</v>
      </c>
    </row>
    <row r="43" spans="1:6" x14ac:dyDescent="0.35">
      <c r="A43" s="419" t="s">
        <v>179</v>
      </c>
      <c r="B43" s="419">
        <v>27.611029089999999</v>
      </c>
      <c r="C43" s="482">
        <f t="shared" si="3"/>
        <v>0.5589912536975068</v>
      </c>
      <c r="D43" s="419" t="s">
        <v>174</v>
      </c>
      <c r="E43" s="419">
        <v>48.229496759999996</v>
      </c>
      <c r="F43" s="482">
        <f t="shared" si="4"/>
        <v>1.0266919323033108</v>
      </c>
    </row>
    <row r="44" spans="1:6" x14ac:dyDescent="0.35">
      <c r="A44" s="46" t="s">
        <v>208</v>
      </c>
      <c r="B44" s="46">
        <v>25.503016460000001</v>
      </c>
      <c r="C44" s="149">
        <f t="shared" si="3"/>
        <v>0.51631408223052044</v>
      </c>
      <c r="D44" s="46" t="s">
        <v>189</v>
      </c>
      <c r="E44" s="46">
        <v>47.821136430000003</v>
      </c>
      <c r="F44" s="149">
        <f t="shared" si="4"/>
        <v>1.0179989065732262</v>
      </c>
    </row>
    <row r="45" spans="1:6" x14ac:dyDescent="0.35">
      <c r="A45" s="419" t="s">
        <v>84</v>
      </c>
      <c r="B45" s="419">
        <v>24.116733629999999</v>
      </c>
      <c r="C45" s="482">
        <f t="shared" si="3"/>
        <v>0.48824848660946901</v>
      </c>
      <c r="D45" s="419" t="s">
        <v>176</v>
      </c>
      <c r="E45" s="419">
        <v>46.882552340000004</v>
      </c>
      <c r="F45" s="482">
        <f t="shared" si="4"/>
        <v>0.99801867087252005</v>
      </c>
    </row>
    <row r="46" spans="1:6" x14ac:dyDescent="0.35">
      <c r="A46" s="46" t="s">
        <v>115</v>
      </c>
      <c r="B46" s="46">
        <v>23.26739203</v>
      </c>
      <c r="C46" s="149">
        <f t="shared" si="3"/>
        <v>0.47105338228163368</v>
      </c>
      <c r="D46" s="46" t="s">
        <v>29</v>
      </c>
      <c r="E46" s="46">
        <v>44.272762590000006</v>
      </c>
      <c r="F46" s="149">
        <f t="shared" si="4"/>
        <v>0.9424624187584586</v>
      </c>
    </row>
    <row r="47" spans="1:6" x14ac:dyDescent="0.35">
      <c r="A47" s="419" t="s">
        <v>177</v>
      </c>
      <c r="B47" s="419">
        <v>20.152268109999998</v>
      </c>
      <c r="C47" s="482">
        <f t="shared" si="3"/>
        <v>0.40798702500143524</v>
      </c>
      <c r="D47" s="419" t="s">
        <v>80</v>
      </c>
      <c r="E47" s="419">
        <v>43.19487264</v>
      </c>
      <c r="F47" s="482">
        <f t="shared" si="4"/>
        <v>0.91951669073059206</v>
      </c>
    </row>
    <row r="48" spans="1:6" x14ac:dyDescent="0.35">
      <c r="A48" s="46" t="s">
        <v>15</v>
      </c>
      <c r="B48" s="46">
        <v>19.99339771</v>
      </c>
      <c r="C48" s="149">
        <f t="shared" si="3"/>
        <v>0.40477065940412449</v>
      </c>
      <c r="D48" s="46" t="s">
        <v>5</v>
      </c>
      <c r="E48" s="46">
        <v>42.261631380000004</v>
      </c>
      <c r="F48" s="149">
        <f t="shared" si="4"/>
        <v>0.89965019124579482</v>
      </c>
    </row>
    <row r="49" spans="1:6" x14ac:dyDescent="0.35">
      <c r="A49" s="419" t="s">
        <v>36</v>
      </c>
      <c r="B49" s="419">
        <v>18.76841112</v>
      </c>
      <c r="C49" s="482">
        <f t="shared" si="3"/>
        <v>0.37997054103567379</v>
      </c>
      <c r="D49" s="419" t="s">
        <v>18</v>
      </c>
      <c r="E49" s="419">
        <v>39.68056103</v>
      </c>
      <c r="F49" s="482">
        <f t="shared" si="4"/>
        <v>0.84470530724173687</v>
      </c>
    </row>
    <row r="50" spans="1:6" x14ac:dyDescent="0.35">
      <c r="A50" s="46" t="s">
        <v>133</v>
      </c>
      <c r="B50" s="46">
        <v>16.209243069999999</v>
      </c>
      <c r="C50" s="149">
        <f t="shared" si="3"/>
        <v>0.32815963054663982</v>
      </c>
      <c r="D50" s="46" t="s">
        <v>180</v>
      </c>
      <c r="E50" s="46">
        <v>39.173168780000005</v>
      </c>
      <c r="F50" s="149">
        <f t="shared" si="4"/>
        <v>0.83390412612677522</v>
      </c>
    </row>
    <row r="51" spans="1:6" x14ac:dyDescent="0.35">
      <c r="A51" s="419" t="s">
        <v>18</v>
      </c>
      <c r="B51" s="419">
        <v>16.0944447</v>
      </c>
      <c r="C51" s="482">
        <f t="shared" si="3"/>
        <v>0.32583551272547645</v>
      </c>
      <c r="D51" s="419" t="s">
        <v>178</v>
      </c>
      <c r="E51" s="419">
        <v>38.411751750000001</v>
      </c>
      <c r="F51" s="482">
        <f t="shared" si="4"/>
        <v>0.81769535816658989</v>
      </c>
    </row>
    <row r="52" spans="1:6" x14ac:dyDescent="0.35">
      <c r="A52" s="46" t="s">
        <v>88</v>
      </c>
      <c r="B52" s="46">
        <v>14.65607638</v>
      </c>
      <c r="C52" s="149">
        <f t="shared" si="3"/>
        <v>0.29671543509799031</v>
      </c>
      <c r="D52" s="46" t="s">
        <v>17</v>
      </c>
      <c r="E52" s="46">
        <v>37.626903720000001</v>
      </c>
      <c r="F52" s="149">
        <f t="shared" si="4"/>
        <v>0.80098779962632627</v>
      </c>
    </row>
    <row r="53" spans="1:6" x14ac:dyDescent="0.35">
      <c r="A53" s="419" t="s">
        <v>140</v>
      </c>
      <c r="B53" s="419">
        <v>12.72968178</v>
      </c>
      <c r="C53" s="482">
        <f t="shared" si="3"/>
        <v>0.25771515991592153</v>
      </c>
      <c r="D53" s="419" t="s">
        <v>125</v>
      </c>
      <c r="E53" s="419">
        <v>36.573660820000001</v>
      </c>
      <c r="F53" s="482">
        <f t="shared" si="4"/>
        <v>0.77856674900730793</v>
      </c>
    </row>
    <row r="54" spans="1:6" x14ac:dyDescent="0.35">
      <c r="A54" s="46" t="s">
        <v>27</v>
      </c>
      <c r="B54" s="46">
        <v>11.250020220000001</v>
      </c>
      <c r="C54" s="149">
        <f t="shared" si="3"/>
        <v>0.22775909171663919</v>
      </c>
      <c r="D54" s="46" t="s">
        <v>195</v>
      </c>
      <c r="E54" s="46">
        <v>35.638310950000005</v>
      </c>
      <c r="F54" s="149">
        <f t="shared" si="4"/>
        <v>0.75865536220207797</v>
      </c>
    </row>
    <row r="55" spans="1:6" x14ac:dyDescent="0.35">
      <c r="A55" s="419" t="s">
        <v>80</v>
      </c>
      <c r="B55" s="419">
        <v>10.3539715</v>
      </c>
      <c r="C55" s="482">
        <f t="shared" ref="C55:C86" si="5">(B55/$B$269)*100</f>
        <v>0.20961839164587459</v>
      </c>
      <c r="D55" s="419" t="s">
        <v>22</v>
      </c>
      <c r="E55" s="419">
        <v>34.458481540000001</v>
      </c>
      <c r="F55" s="482">
        <f t="shared" si="4"/>
        <v>0.73353958413852149</v>
      </c>
    </row>
    <row r="56" spans="1:6" x14ac:dyDescent="0.35">
      <c r="A56" s="46" t="s">
        <v>97</v>
      </c>
      <c r="B56" s="46">
        <v>9.6196337300000003</v>
      </c>
      <c r="C56" s="149">
        <f t="shared" si="5"/>
        <v>0.19475156472132507</v>
      </c>
      <c r="D56" s="46" t="s">
        <v>20</v>
      </c>
      <c r="E56" s="46">
        <v>33.81627735</v>
      </c>
      <c r="F56" s="149">
        <f t="shared" si="4"/>
        <v>0.71986857562592121</v>
      </c>
    </row>
    <row r="57" spans="1:6" x14ac:dyDescent="0.35">
      <c r="A57" s="419" t="s">
        <v>68</v>
      </c>
      <c r="B57" s="419">
        <v>9.1933562899999988</v>
      </c>
      <c r="C57" s="482">
        <f t="shared" si="5"/>
        <v>0.18612148578323634</v>
      </c>
      <c r="D57" s="419" t="s">
        <v>171</v>
      </c>
      <c r="E57" s="419">
        <v>33.369506890000004</v>
      </c>
      <c r="F57" s="482">
        <f t="shared" si="4"/>
        <v>0.71035788906089237</v>
      </c>
    </row>
    <row r="58" spans="1:6" x14ac:dyDescent="0.35">
      <c r="A58" s="46" t="s">
        <v>178</v>
      </c>
      <c r="B58" s="46">
        <v>8.4009338099999997</v>
      </c>
      <c r="C58" s="149">
        <f t="shared" si="5"/>
        <v>0.17007872134626303</v>
      </c>
      <c r="D58" s="46" t="s">
        <v>16</v>
      </c>
      <c r="E58" s="46">
        <v>33.274716529999999</v>
      </c>
      <c r="F58" s="149">
        <f t="shared" si="4"/>
        <v>0.70834002645792105</v>
      </c>
    </row>
    <row r="59" spans="1:6" x14ac:dyDescent="0.35">
      <c r="A59" s="419" t="s">
        <v>63</v>
      </c>
      <c r="B59" s="419">
        <v>7.63869372</v>
      </c>
      <c r="C59" s="482">
        <f t="shared" si="5"/>
        <v>0.15464700592056319</v>
      </c>
      <c r="D59" s="419" t="s">
        <v>131</v>
      </c>
      <c r="E59" s="419">
        <v>32.806989989999998</v>
      </c>
      <c r="F59" s="482">
        <f t="shared" si="4"/>
        <v>0.6983832345068921</v>
      </c>
    </row>
    <row r="60" spans="1:6" x14ac:dyDescent="0.35">
      <c r="A60" s="46" t="s">
        <v>117</v>
      </c>
      <c r="B60" s="46">
        <v>7.5605124899999998</v>
      </c>
      <c r="C60" s="149">
        <f t="shared" si="5"/>
        <v>0.15306421001567819</v>
      </c>
      <c r="D60" s="46" t="s">
        <v>48</v>
      </c>
      <c r="E60" s="46">
        <v>31.247456600000003</v>
      </c>
      <c r="F60" s="149">
        <f t="shared" si="4"/>
        <v>0.6651844566378563</v>
      </c>
    </row>
    <row r="61" spans="1:6" x14ac:dyDescent="0.35">
      <c r="A61" s="419" t="s">
        <v>143</v>
      </c>
      <c r="B61" s="419">
        <v>7.5159400099999996</v>
      </c>
      <c r="C61" s="482">
        <f t="shared" si="5"/>
        <v>0.15216183052107862</v>
      </c>
      <c r="D61" s="419" t="s">
        <v>113</v>
      </c>
      <c r="E61" s="419">
        <v>31.13154823</v>
      </c>
      <c r="F61" s="482">
        <f t="shared" si="4"/>
        <v>0.66271704154211908</v>
      </c>
    </row>
    <row r="62" spans="1:6" x14ac:dyDescent="0.35">
      <c r="A62" s="46" t="s">
        <v>104</v>
      </c>
      <c r="B62" s="46">
        <v>7.1350886900000008</v>
      </c>
      <c r="C62" s="149">
        <f t="shared" si="5"/>
        <v>0.14445141320395466</v>
      </c>
      <c r="D62" s="46" t="s">
        <v>151</v>
      </c>
      <c r="E62" s="46">
        <v>30.361224679999999</v>
      </c>
      <c r="F62" s="149">
        <f t="shared" si="4"/>
        <v>0.64631867483338368</v>
      </c>
    </row>
    <row r="63" spans="1:6" x14ac:dyDescent="0.35">
      <c r="A63" s="419" t="s">
        <v>172</v>
      </c>
      <c r="B63" s="419">
        <v>6.9082486100000002</v>
      </c>
      <c r="C63" s="482">
        <f t="shared" si="5"/>
        <v>0.1398589867393443</v>
      </c>
      <c r="D63" s="419" t="s">
        <v>85</v>
      </c>
      <c r="E63" s="419">
        <v>29.46264978</v>
      </c>
      <c r="F63" s="482">
        <f t="shared" si="4"/>
        <v>0.62719014017354457</v>
      </c>
    </row>
    <row r="64" spans="1:6" x14ac:dyDescent="0.35">
      <c r="A64" s="46" t="s">
        <v>58</v>
      </c>
      <c r="B64" s="46">
        <v>6.7650589100000005</v>
      </c>
      <c r="C64" s="149">
        <f t="shared" si="5"/>
        <v>0.13696008030385187</v>
      </c>
      <c r="D64" s="46" t="s">
        <v>145</v>
      </c>
      <c r="E64" s="46">
        <v>29.257613280000001</v>
      </c>
      <c r="F64" s="149">
        <f t="shared" si="4"/>
        <v>0.622825397961424</v>
      </c>
    </row>
    <row r="65" spans="1:6" x14ac:dyDescent="0.35">
      <c r="A65" s="419" t="s">
        <v>10</v>
      </c>
      <c r="B65" s="419">
        <v>6.2521129200000001</v>
      </c>
      <c r="C65" s="482">
        <f t="shared" si="5"/>
        <v>0.12657537783243777</v>
      </c>
      <c r="D65" s="419" t="s">
        <v>127</v>
      </c>
      <c r="E65" s="419">
        <v>29.121406589999999</v>
      </c>
      <c r="F65" s="482">
        <f t="shared" si="4"/>
        <v>0.61992587963460788</v>
      </c>
    </row>
    <row r="66" spans="1:6" x14ac:dyDescent="0.35">
      <c r="A66" s="46" t="s">
        <v>116</v>
      </c>
      <c r="B66" s="46">
        <v>5.9030479600000003</v>
      </c>
      <c r="C66" s="149">
        <f t="shared" si="5"/>
        <v>0.119508482246031</v>
      </c>
      <c r="D66" s="46" t="s">
        <v>146</v>
      </c>
      <c r="E66" s="46">
        <v>26.345225629999998</v>
      </c>
      <c r="F66" s="149">
        <f t="shared" si="4"/>
        <v>0.56082755214366065</v>
      </c>
    </row>
    <row r="67" spans="1:6" x14ac:dyDescent="0.35">
      <c r="A67" s="419" t="s">
        <v>45</v>
      </c>
      <c r="B67" s="419">
        <v>5.7343583799999998</v>
      </c>
      <c r="C67" s="482">
        <f t="shared" si="5"/>
        <v>0.11609332522661887</v>
      </c>
      <c r="D67" s="419" t="s">
        <v>58</v>
      </c>
      <c r="E67" s="419">
        <v>26.239360059999999</v>
      </c>
      <c r="F67" s="482">
        <f t="shared" si="4"/>
        <v>0.55857392451058452</v>
      </c>
    </row>
    <row r="68" spans="1:6" x14ac:dyDescent="0.35">
      <c r="A68" s="46" t="s">
        <v>146</v>
      </c>
      <c r="B68" s="46">
        <v>5.2091051200000003</v>
      </c>
      <c r="C68" s="149">
        <f t="shared" si="5"/>
        <v>0.10545945941310447</v>
      </c>
      <c r="D68" s="46" t="s">
        <v>76</v>
      </c>
      <c r="E68" s="46">
        <v>25.710366069999999</v>
      </c>
      <c r="F68" s="149">
        <f t="shared" si="4"/>
        <v>0.54731289343508749</v>
      </c>
    </row>
    <row r="69" spans="1:6" x14ac:dyDescent="0.35">
      <c r="A69" s="419" t="s">
        <v>9</v>
      </c>
      <c r="B69" s="419">
        <v>4.7579237900000004</v>
      </c>
      <c r="C69" s="482">
        <f t="shared" si="5"/>
        <v>9.6325195837504859E-2</v>
      </c>
      <c r="D69" s="419" t="s">
        <v>214</v>
      </c>
      <c r="E69" s="419">
        <v>25.425714129999999</v>
      </c>
      <c r="F69" s="482">
        <f t="shared" si="4"/>
        <v>0.54125332678095506</v>
      </c>
    </row>
    <row r="70" spans="1:6" x14ac:dyDescent="0.35">
      <c r="A70" s="46" t="s">
        <v>188</v>
      </c>
      <c r="B70" s="46">
        <v>4.2919009400000006</v>
      </c>
      <c r="C70" s="149">
        <f t="shared" si="5"/>
        <v>8.6890462480625652E-2</v>
      </c>
      <c r="D70" s="46" t="s">
        <v>140</v>
      </c>
      <c r="E70" s="46">
        <v>25.3556618</v>
      </c>
      <c r="F70" s="149">
        <f t="shared" si="4"/>
        <v>0.53976207833588119</v>
      </c>
    </row>
    <row r="71" spans="1:6" x14ac:dyDescent="0.35">
      <c r="A71" s="419" t="s">
        <v>173</v>
      </c>
      <c r="B71" s="419">
        <v>4.0355329100000006</v>
      </c>
      <c r="C71" s="482">
        <f t="shared" si="5"/>
        <v>8.1700236284038066E-2</v>
      </c>
      <c r="D71" s="419" t="s">
        <v>94</v>
      </c>
      <c r="E71" s="419">
        <v>25.152991289999999</v>
      </c>
      <c r="F71" s="482">
        <f t="shared" si="4"/>
        <v>0.5354477024557377</v>
      </c>
    </row>
    <row r="72" spans="1:6" x14ac:dyDescent="0.35">
      <c r="A72" s="46" t="s">
        <v>159</v>
      </c>
      <c r="B72" s="46">
        <v>3.6816512499999998</v>
      </c>
      <c r="C72" s="149">
        <f t="shared" si="5"/>
        <v>7.4535825564714331E-2</v>
      </c>
      <c r="D72" s="46" t="s">
        <v>31</v>
      </c>
      <c r="E72" s="46">
        <v>25.117379789999998</v>
      </c>
      <c r="F72" s="149">
        <f t="shared" si="4"/>
        <v>0.53468961783525826</v>
      </c>
    </row>
    <row r="73" spans="1:6" x14ac:dyDescent="0.35">
      <c r="A73" s="419" t="s">
        <v>157</v>
      </c>
      <c r="B73" s="419">
        <v>3.6599039100000001</v>
      </c>
      <c r="C73" s="482">
        <f t="shared" si="5"/>
        <v>7.4095545964429951E-2</v>
      </c>
      <c r="D73" s="419" t="s">
        <v>182</v>
      </c>
      <c r="E73" s="419">
        <v>24.32648945</v>
      </c>
      <c r="F73" s="482">
        <f t="shared" si="4"/>
        <v>0.51785343280402507</v>
      </c>
    </row>
    <row r="74" spans="1:6" x14ac:dyDescent="0.35">
      <c r="A74" s="46" t="s">
        <v>162</v>
      </c>
      <c r="B74" s="46">
        <v>3.55663836</v>
      </c>
      <c r="C74" s="149">
        <f t="shared" si="5"/>
        <v>7.2004912577673316E-2</v>
      </c>
      <c r="D74" s="46" t="s">
        <v>119</v>
      </c>
      <c r="E74" s="46">
        <v>24.01530125</v>
      </c>
      <c r="F74" s="149">
        <f t="shared" si="4"/>
        <v>0.51122897192777217</v>
      </c>
    </row>
    <row r="75" spans="1:6" x14ac:dyDescent="0.35">
      <c r="A75" s="419" t="s">
        <v>113</v>
      </c>
      <c r="B75" s="419">
        <v>3.4506601699999999</v>
      </c>
      <c r="C75" s="482">
        <f t="shared" si="5"/>
        <v>6.9859361207617779E-2</v>
      </c>
      <c r="D75" s="419" t="s">
        <v>173</v>
      </c>
      <c r="E75" s="419">
        <v>23.17499952</v>
      </c>
      <c r="F75" s="482">
        <f t="shared" si="4"/>
        <v>0.49334093525211187</v>
      </c>
    </row>
    <row r="76" spans="1:6" x14ac:dyDescent="0.35">
      <c r="A76" s="46" t="s">
        <v>202</v>
      </c>
      <c r="B76" s="46">
        <v>3.1700394900000002</v>
      </c>
      <c r="C76" s="149">
        <f t="shared" si="5"/>
        <v>6.417813486812364E-2</v>
      </c>
      <c r="D76" s="46" t="s">
        <v>74</v>
      </c>
      <c r="E76" s="46">
        <v>22.984492059999997</v>
      </c>
      <c r="F76" s="149">
        <f t="shared" si="4"/>
        <v>0.4892854819431357</v>
      </c>
    </row>
    <row r="77" spans="1:6" x14ac:dyDescent="0.35">
      <c r="A77" s="419" t="s">
        <v>79</v>
      </c>
      <c r="B77" s="419">
        <v>3.0433824700000001</v>
      </c>
      <c r="C77" s="482">
        <f t="shared" si="5"/>
        <v>6.1613936113755881E-2</v>
      </c>
      <c r="D77" s="419" t="s">
        <v>82</v>
      </c>
      <c r="E77" s="419">
        <v>22.80153696</v>
      </c>
      <c r="F77" s="482">
        <f t="shared" si="4"/>
        <v>0.48539080051864431</v>
      </c>
    </row>
    <row r="78" spans="1:6" x14ac:dyDescent="0.35">
      <c r="A78" s="46" t="s">
        <v>151</v>
      </c>
      <c r="B78" s="46">
        <v>3.0238036699999999</v>
      </c>
      <c r="C78" s="149">
        <f t="shared" si="5"/>
        <v>6.1217559074630716E-2</v>
      </c>
      <c r="D78" s="46" t="s">
        <v>157</v>
      </c>
      <c r="E78" s="46">
        <v>22.401899800000002</v>
      </c>
      <c r="F78" s="149">
        <f t="shared" si="4"/>
        <v>0.4768834704491981</v>
      </c>
    </row>
    <row r="79" spans="1:6" x14ac:dyDescent="0.35">
      <c r="A79" s="419" t="s">
        <v>189</v>
      </c>
      <c r="B79" s="419">
        <v>2.9020126299999998</v>
      </c>
      <c r="C79" s="482">
        <f t="shared" si="5"/>
        <v>5.8751873137434706E-2</v>
      </c>
      <c r="D79" s="419" t="s">
        <v>26</v>
      </c>
      <c r="E79" s="419">
        <v>22.00795201</v>
      </c>
      <c r="F79" s="482">
        <f t="shared" si="4"/>
        <v>0.46849725361275851</v>
      </c>
    </row>
    <row r="80" spans="1:6" x14ac:dyDescent="0.35">
      <c r="A80" s="46" t="s">
        <v>171</v>
      </c>
      <c r="B80" s="46">
        <v>2.5334996000000003</v>
      </c>
      <c r="C80" s="149">
        <f t="shared" si="5"/>
        <v>5.129124716901786E-2</v>
      </c>
      <c r="D80" s="46" t="s">
        <v>24</v>
      </c>
      <c r="E80" s="46">
        <v>21.33073886</v>
      </c>
      <c r="F80" s="149">
        <f t="shared" si="4"/>
        <v>0.45408098713138473</v>
      </c>
    </row>
    <row r="81" spans="1:6" x14ac:dyDescent="0.35">
      <c r="A81" s="419" t="s">
        <v>131</v>
      </c>
      <c r="B81" s="419">
        <v>2.4684173899999999</v>
      </c>
      <c r="C81" s="482">
        <f t="shared" si="5"/>
        <v>4.9973643756167134E-2</v>
      </c>
      <c r="D81" s="419" t="s">
        <v>207</v>
      </c>
      <c r="E81" s="419">
        <v>21.036091690000003</v>
      </c>
      <c r="F81" s="482">
        <f t="shared" si="4"/>
        <v>0.4478086456673972</v>
      </c>
    </row>
    <row r="82" spans="1:6" x14ac:dyDescent="0.35">
      <c r="A82" s="46" t="s">
        <v>176</v>
      </c>
      <c r="B82" s="46">
        <v>2.3582710699999998</v>
      </c>
      <c r="C82" s="149">
        <f t="shared" si="5"/>
        <v>4.7743707693071749E-2</v>
      </c>
      <c r="D82" s="46" t="s">
        <v>200</v>
      </c>
      <c r="E82" s="46">
        <v>19.707017390000001</v>
      </c>
      <c r="F82" s="149">
        <f t="shared" si="4"/>
        <v>0.41951579683192303</v>
      </c>
    </row>
    <row r="83" spans="1:6" x14ac:dyDescent="0.35">
      <c r="A83" s="419" t="s">
        <v>118</v>
      </c>
      <c r="B83" s="419">
        <v>2.1307848199999997</v>
      </c>
      <c r="C83" s="482">
        <f t="shared" si="5"/>
        <v>4.3138199377103198E-2</v>
      </c>
      <c r="D83" s="419" t="s">
        <v>198</v>
      </c>
      <c r="E83" s="419">
        <v>19.36833305</v>
      </c>
      <c r="F83" s="482">
        <f t="shared" si="4"/>
        <v>0.41230600815828583</v>
      </c>
    </row>
    <row r="84" spans="1:6" x14ac:dyDescent="0.35">
      <c r="A84" s="46" t="s">
        <v>40</v>
      </c>
      <c r="B84" s="46">
        <v>2.1214780000000002</v>
      </c>
      <c r="C84" s="149">
        <f t="shared" si="5"/>
        <v>4.2949780793979077E-2</v>
      </c>
      <c r="D84" s="46" t="s">
        <v>204</v>
      </c>
      <c r="E84" s="46">
        <v>19.00639052</v>
      </c>
      <c r="F84" s="149">
        <f t="shared" si="4"/>
        <v>0.40460110762080714</v>
      </c>
    </row>
    <row r="85" spans="1:6" x14ac:dyDescent="0.35">
      <c r="A85" s="419" t="s">
        <v>81</v>
      </c>
      <c r="B85" s="419">
        <v>1.88593009</v>
      </c>
      <c r="C85" s="482">
        <f t="shared" si="5"/>
        <v>3.8181062428301979E-2</v>
      </c>
      <c r="D85" s="419" t="s">
        <v>79</v>
      </c>
      <c r="E85" s="419">
        <v>18.944570690000003</v>
      </c>
      <c r="F85" s="482">
        <f t="shared" si="4"/>
        <v>0.40328510963241426</v>
      </c>
    </row>
    <row r="86" spans="1:6" x14ac:dyDescent="0.35">
      <c r="A86" s="46" t="s">
        <v>135</v>
      </c>
      <c r="B86" s="46">
        <v>1.87559879</v>
      </c>
      <c r="C86" s="149">
        <f t="shared" si="5"/>
        <v>3.79719030260754E-2</v>
      </c>
      <c r="D86" s="46" t="s">
        <v>192</v>
      </c>
      <c r="E86" s="46">
        <v>18.687332059999999</v>
      </c>
      <c r="F86" s="149">
        <f t="shared" si="4"/>
        <v>0.39780910752084347</v>
      </c>
    </row>
    <row r="87" spans="1:6" x14ac:dyDescent="0.35">
      <c r="A87" s="419" t="s">
        <v>50</v>
      </c>
      <c r="B87" s="419">
        <v>1.86049394</v>
      </c>
      <c r="C87" s="482">
        <f t="shared" ref="C87:C118" si="6">(B87/$B$269)*100</f>
        <v>3.7666102072011334E-2</v>
      </c>
      <c r="D87" s="419" t="s">
        <v>89</v>
      </c>
      <c r="E87" s="419">
        <v>18.282106350000003</v>
      </c>
      <c r="F87" s="482">
        <f t="shared" ref="F87:F150" si="7">(E87/$E$269)*100</f>
        <v>0.3891828104377702</v>
      </c>
    </row>
    <row r="88" spans="1:6" x14ac:dyDescent="0.35">
      <c r="A88" s="46" t="s">
        <v>174</v>
      </c>
      <c r="B88" s="46">
        <v>1.7413934099999999</v>
      </c>
      <c r="C88" s="149">
        <f t="shared" si="6"/>
        <v>3.5254886091479483E-2</v>
      </c>
      <c r="D88" s="46" t="s">
        <v>191</v>
      </c>
      <c r="E88" s="46">
        <v>18.23517755</v>
      </c>
      <c r="F88" s="149">
        <f t="shared" si="7"/>
        <v>0.38818380726358326</v>
      </c>
    </row>
    <row r="89" spans="1:6" x14ac:dyDescent="0.35">
      <c r="A89" s="419" t="s">
        <v>38</v>
      </c>
      <c r="B89" s="419">
        <v>1.7183077499999999</v>
      </c>
      <c r="C89" s="482">
        <f t="shared" si="6"/>
        <v>3.4787511913437416E-2</v>
      </c>
      <c r="D89" s="419" t="s">
        <v>158</v>
      </c>
      <c r="E89" s="419">
        <v>18.177278350000002</v>
      </c>
      <c r="F89" s="482">
        <f t="shared" si="7"/>
        <v>0.38695127021633557</v>
      </c>
    </row>
    <row r="90" spans="1:6" x14ac:dyDescent="0.35">
      <c r="A90" s="46" t="s">
        <v>20</v>
      </c>
      <c r="B90" s="46">
        <v>1.6361643700000001</v>
      </c>
      <c r="C90" s="149">
        <f t="shared" si="6"/>
        <v>3.3124501425147411E-2</v>
      </c>
      <c r="D90" s="46" t="s">
        <v>350</v>
      </c>
      <c r="E90" s="46">
        <v>17.528731879999999</v>
      </c>
      <c r="F90" s="149">
        <f t="shared" si="7"/>
        <v>0.37314524956083833</v>
      </c>
    </row>
    <row r="91" spans="1:6" x14ac:dyDescent="0.35">
      <c r="A91" s="419" t="s">
        <v>105</v>
      </c>
      <c r="B91" s="419">
        <v>1.6076641399999998</v>
      </c>
      <c r="C91" s="482">
        <f t="shared" si="6"/>
        <v>3.2547508106773142E-2</v>
      </c>
      <c r="D91" s="419" t="s">
        <v>162</v>
      </c>
      <c r="E91" s="419">
        <v>17.43381407</v>
      </c>
      <c r="F91" s="482">
        <f t="shared" si="7"/>
        <v>0.37112467384876252</v>
      </c>
    </row>
    <row r="92" spans="1:6" x14ac:dyDescent="0.35">
      <c r="A92" s="46" t="s">
        <v>87</v>
      </c>
      <c r="B92" s="46">
        <v>1.5931737699999999</v>
      </c>
      <c r="C92" s="149">
        <f t="shared" si="6"/>
        <v>3.225414743316557E-2</v>
      </c>
      <c r="D92" s="46" t="s">
        <v>116</v>
      </c>
      <c r="E92" s="46">
        <v>16.466791300000001</v>
      </c>
      <c r="F92" s="149">
        <f t="shared" si="7"/>
        <v>0.35053904590300244</v>
      </c>
    </row>
    <row r="93" spans="1:6" x14ac:dyDescent="0.35">
      <c r="A93" s="419" t="s">
        <v>180</v>
      </c>
      <c r="B93" s="419">
        <v>1.54265611</v>
      </c>
      <c r="C93" s="482">
        <f t="shared" si="6"/>
        <v>3.1231406484060864E-2</v>
      </c>
      <c r="D93" s="419" t="s">
        <v>39</v>
      </c>
      <c r="E93" s="419">
        <v>16.460977060000001</v>
      </c>
      <c r="F93" s="482">
        <f t="shared" si="7"/>
        <v>0.35041527448298998</v>
      </c>
    </row>
    <row r="94" spans="1:6" x14ac:dyDescent="0.35">
      <c r="A94" s="46" t="s">
        <v>90</v>
      </c>
      <c r="B94" s="46">
        <v>1.33123689</v>
      </c>
      <c r="C94" s="149">
        <f t="shared" si="6"/>
        <v>2.6951178664288967E-2</v>
      </c>
      <c r="D94" s="46" t="s">
        <v>124</v>
      </c>
      <c r="E94" s="46">
        <v>16.281272789999999</v>
      </c>
      <c r="F94" s="149">
        <f t="shared" si="7"/>
        <v>0.34658979554159491</v>
      </c>
    </row>
    <row r="95" spans="1:6" x14ac:dyDescent="0.35">
      <c r="A95" s="419" t="s">
        <v>163</v>
      </c>
      <c r="B95" s="419">
        <v>1.2332971000000001</v>
      </c>
      <c r="C95" s="482">
        <f t="shared" si="6"/>
        <v>2.4968366440212952E-2</v>
      </c>
      <c r="D95" s="419" t="s">
        <v>101</v>
      </c>
      <c r="E95" s="419">
        <v>16.098948960000001</v>
      </c>
      <c r="F95" s="482">
        <f t="shared" si="7"/>
        <v>0.34270855236256831</v>
      </c>
    </row>
    <row r="96" spans="1:6" x14ac:dyDescent="0.35">
      <c r="A96" s="46" t="s">
        <v>37</v>
      </c>
      <c r="B96" s="46">
        <v>1.13852</v>
      </c>
      <c r="C96" s="149">
        <f t="shared" si="6"/>
        <v>2.3049583558990974E-2</v>
      </c>
      <c r="D96" s="46" t="s">
        <v>38</v>
      </c>
      <c r="E96" s="46">
        <v>15.88616305</v>
      </c>
      <c r="F96" s="149">
        <f t="shared" si="7"/>
        <v>0.33817884353744931</v>
      </c>
    </row>
    <row r="97" spans="1:6" x14ac:dyDescent="0.35">
      <c r="A97" s="419" t="s">
        <v>75</v>
      </c>
      <c r="B97" s="419">
        <v>1.12398485</v>
      </c>
      <c r="C97" s="482">
        <f t="shared" si="6"/>
        <v>2.2755316304601533E-2</v>
      </c>
      <c r="D97" s="419" t="s">
        <v>92</v>
      </c>
      <c r="E97" s="419">
        <v>15.433532919999999</v>
      </c>
      <c r="F97" s="482">
        <f t="shared" si="7"/>
        <v>0.32854341845514123</v>
      </c>
    </row>
    <row r="98" spans="1:6" x14ac:dyDescent="0.35">
      <c r="A98" s="46" t="s">
        <v>103</v>
      </c>
      <c r="B98" s="46">
        <v>1.1118409499999999</v>
      </c>
      <c r="C98" s="149">
        <f t="shared" si="6"/>
        <v>2.2509460423473373E-2</v>
      </c>
      <c r="D98" s="46" t="s">
        <v>133</v>
      </c>
      <c r="E98" s="46">
        <v>15.282562199999999</v>
      </c>
      <c r="F98" s="149">
        <f t="shared" si="7"/>
        <v>0.32532960884378792</v>
      </c>
    </row>
    <row r="99" spans="1:6" x14ac:dyDescent="0.35">
      <c r="A99" s="419" t="s">
        <v>106</v>
      </c>
      <c r="B99" s="419">
        <v>1.10735636</v>
      </c>
      <c r="C99" s="482">
        <f t="shared" si="6"/>
        <v>2.2418668929311818E-2</v>
      </c>
      <c r="D99" s="419" t="s">
        <v>4</v>
      </c>
      <c r="E99" s="419">
        <v>14.678839609999999</v>
      </c>
      <c r="F99" s="482">
        <f t="shared" si="7"/>
        <v>0.31247778259341885</v>
      </c>
    </row>
    <row r="100" spans="1:6" x14ac:dyDescent="0.35">
      <c r="A100" s="46" t="s">
        <v>155</v>
      </c>
      <c r="B100" s="46">
        <v>1.0662288200000001</v>
      </c>
      <c r="C100" s="149">
        <f t="shared" si="6"/>
        <v>2.1586032989841505E-2</v>
      </c>
      <c r="D100" s="46" t="s">
        <v>112</v>
      </c>
      <c r="E100" s="46">
        <v>14.30479839</v>
      </c>
      <c r="F100" s="149">
        <f t="shared" si="7"/>
        <v>0.30451532955697358</v>
      </c>
    </row>
    <row r="101" spans="1:6" x14ac:dyDescent="0.35">
      <c r="A101" s="419" t="s">
        <v>83</v>
      </c>
      <c r="B101" s="419">
        <v>1.00985328</v>
      </c>
      <c r="C101" s="482">
        <f t="shared" si="6"/>
        <v>2.0444697993606709E-2</v>
      </c>
      <c r="D101" s="419" t="s">
        <v>19</v>
      </c>
      <c r="E101" s="419">
        <v>13.923138869999999</v>
      </c>
      <c r="F101" s="482">
        <f t="shared" si="7"/>
        <v>0.29639070092937947</v>
      </c>
    </row>
    <row r="102" spans="1:6" x14ac:dyDescent="0.35">
      <c r="A102" s="46" t="s">
        <v>209</v>
      </c>
      <c r="B102" s="46">
        <v>0.93977100000000002</v>
      </c>
      <c r="C102" s="149">
        <f t="shared" si="6"/>
        <v>1.9025867082542693E-2</v>
      </c>
      <c r="D102" s="46" t="s">
        <v>135</v>
      </c>
      <c r="E102" s="46">
        <v>13.708068119999998</v>
      </c>
      <c r="F102" s="149">
        <f t="shared" si="7"/>
        <v>0.29181235326387867</v>
      </c>
    </row>
    <row r="103" spans="1:6" x14ac:dyDescent="0.35">
      <c r="A103" s="419" t="s">
        <v>94</v>
      </c>
      <c r="B103" s="419">
        <v>0.93589500000000003</v>
      </c>
      <c r="C103" s="482">
        <f t="shared" si="6"/>
        <v>1.8947396624514157E-2</v>
      </c>
      <c r="D103" s="419" t="s">
        <v>103</v>
      </c>
      <c r="E103" s="419">
        <v>13.692274769999999</v>
      </c>
      <c r="F103" s="482">
        <f t="shared" si="7"/>
        <v>0.29147615019069029</v>
      </c>
    </row>
    <row r="104" spans="1:6" x14ac:dyDescent="0.35">
      <c r="A104" s="46" t="s">
        <v>215</v>
      </c>
      <c r="B104" s="46">
        <v>0.91659031999999996</v>
      </c>
      <c r="C104" s="149">
        <f t="shared" si="6"/>
        <v>1.8556569204056385E-2</v>
      </c>
      <c r="D104" s="46" t="s">
        <v>202</v>
      </c>
      <c r="E104" s="46">
        <v>13.459272140000001</v>
      </c>
      <c r="F104" s="149">
        <f t="shared" si="7"/>
        <v>0.28651607520552363</v>
      </c>
    </row>
    <row r="105" spans="1:6" x14ac:dyDescent="0.35">
      <c r="A105" s="419" t="s">
        <v>175</v>
      </c>
      <c r="B105" s="419">
        <v>0.770868</v>
      </c>
      <c r="C105" s="482">
        <f t="shared" si="6"/>
        <v>1.5606389329087108E-2</v>
      </c>
      <c r="D105" s="419" t="s">
        <v>156</v>
      </c>
      <c r="E105" s="419">
        <v>13.231040519999999</v>
      </c>
      <c r="F105" s="482">
        <f t="shared" si="7"/>
        <v>0.28165756374071277</v>
      </c>
    </row>
    <row r="106" spans="1:6" x14ac:dyDescent="0.35">
      <c r="A106" s="46" t="s">
        <v>154</v>
      </c>
      <c r="B106" s="46">
        <v>0.66923178999999999</v>
      </c>
      <c r="C106" s="149">
        <f t="shared" si="6"/>
        <v>1.354874228290948E-2</v>
      </c>
      <c r="D106" s="46" t="s">
        <v>134</v>
      </c>
      <c r="E106" s="46">
        <v>13.075041800000001</v>
      </c>
      <c r="F106" s="149">
        <f t="shared" si="7"/>
        <v>0.27833671989963682</v>
      </c>
    </row>
    <row r="107" spans="1:6" x14ac:dyDescent="0.35">
      <c r="A107" s="419" t="s">
        <v>119</v>
      </c>
      <c r="B107" s="419">
        <v>0.66299769999999991</v>
      </c>
      <c r="C107" s="482">
        <f t="shared" si="6"/>
        <v>1.3422531782989168E-2</v>
      </c>
      <c r="D107" s="419" t="s">
        <v>193</v>
      </c>
      <c r="E107" s="419">
        <v>12.27395082</v>
      </c>
      <c r="F107" s="482">
        <f t="shared" si="7"/>
        <v>0.26128338736540457</v>
      </c>
    </row>
    <row r="108" spans="1:6" x14ac:dyDescent="0.35">
      <c r="A108" s="46" t="s">
        <v>70</v>
      </c>
      <c r="B108" s="46">
        <v>0.60218956999999995</v>
      </c>
      <c r="C108" s="149">
        <f t="shared" si="6"/>
        <v>1.2191458043835719E-2</v>
      </c>
      <c r="D108" s="46" t="s">
        <v>8</v>
      </c>
      <c r="E108" s="46">
        <v>11.97673473</v>
      </c>
      <c r="F108" s="149">
        <f t="shared" si="7"/>
        <v>0.25495635966963121</v>
      </c>
    </row>
    <row r="109" spans="1:6" x14ac:dyDescent="0.35">
      <c r="A109" s="419" t="s">
        <v>354</v>
      </c>
      <c r="B109" s="419">
        <v>0.52759999999999996</v>
      </c>
      <c r="C109" s="482">
        <f t="shared" si="6"/>
        <v>1.068137607220219E-2</v>
      </c>
      <c r="D109" s="419" t="s">
        <v>165</v>
      </c>
      <c r="E109" s="419">
        <v>11.81467419</v>
      </c>
      <c r="F109" s="482">
        <f t="shared" si="7"/>
        <v>0.25150647401582288</v>
      </c>
    </row>
    <row r="110" spans="1:6" x14ac:dyDescent="0.35">
      <c r="A110" s="46" t="s">
        <v>29</v>
      </c>
      <c r="B110" s="46">
        <v>0.52372542</v>
      </c>
      <c r="C110" s="149">
        <f t="shared" si="6"/>
        <v>1.0602934362380672E-2</v>
      </c>
      <c r="D110" s="46" t="s">
        <v>144</v>
      </c>
      <c r="E110" s="46">
        <v>11.616469070000001</v>
      </c>
      <c r="F110" s="149">
        <f t="shared" si="7"/>
        <v>0.24728715572896942</v>
      </c>
    </row>
    <row r="111" spans="1:6" x14ac:dyDescent="0.35">
      <c r="A111" s="419" t="s">
        <v>156</v>
      </c>
      <c r="B111" s="419">
        <v>0.48440368</v>
      </c>
      <c r="C111" s="482">
        <f t="shared" si="6"/>
        <v>9.8068572343417114E-3</v>
      </c>
      <c r="D111" s="419" t="s">
        <v>90</v>
      </c>
      <c r="E111" s="419">
        <v>11.47165951</v>
      </c>
      <c r="F111" s="482">
        <f t="shared" si="7"/>
        <v>0.24420450264402782</v>
      </c>
    </row>
    <row r="112" spans="1:6" x14ac:dyDescent="0.35">
      <c r="A112" s="46" t="s">
        <v>76</v>
      </c>
      <c r="B112" s="46">
        <v>0.48292439000000004</v>
      </c>
      <c r="C112" s="149">
        <f t="shared" si="6"/>
        <v>9.7769086884549657E-3</v>
      </c>
      <c r="D112" s="46" t="s">
        <v>104</v>
      </c>
      <c r="E112" s="46">
        <v>11.437677240000001</v>
      </c>
      <c r="F112" s="149">
        <f t="shared" si="7"/>
        <v>0.24348110047742494</v>
      </c>
    </row>
    <row r="113" spans="1:6" x14ac:dyDescent="0.35">
      <c r="A113" s="419" t="s">
        <v>185</v>
      </c>
      <c r="B113" s="419">
        <v>0.48045803999999998</v>
      </c>
      <c r="C113" s="482">
        <f t="shared" si="6"/>
        <v>9.7269768994563358E-3</v>
      </c>
      <c r="D113" s="419" t="s">
        <v>384</v>
      </c>
      <c r="E113" s="419">
        <v>11.108460300000001</v>
      </c>
      <c r="F113" s="482">
        <f t="shared" si="7"/>
        <v>0.23647285036116178</v>
      </c>
    </row>
    <row r="114" spans="1:6" x14ac:dyDescent="0.35">
      <c r="A114" s="46" t="s">
        <v>200</v>
      </c>
      <c r="B114" s="46">
        <v>0.47547977000000002</v>
      </c>
      <c r="C114" s="149">
        <f t="shared" si="6"/>
        <v>9.6261907469564079E-3</v>
      </c>
      <c r="D114" s="46" t="s">
        <v>160</v>
      </c>
      <c r="E114" s="46">
        <v>10.988603640000001</v>
      </c>
      <c r="F114" s="149">
        <f t="shared" si="7"/>
        <v>0.23392138550829025</v>
      </c>
    </row>
    <row r="115" spans="1:6" x14ac:dyDescent="0.35">
      <c r="A115" s="419" t="s">
        <v>102</v>
      </c>
      <c r="B115" s="419">
        <v>0.47352157</v>
      </c>
      <c r="C115" s="482">
        <f t="shared" si="6"/>
        <v>9.5865465645747043E-3</v>
      </c>
      <c r="D115" s="419" t="s">
        <v>142</v>
      </c>
      <c r="E115" s="419">
        <v>10.36599685</v>
      </c>
      <c r="F115" s="482">
        <f t="shared" si="7"/>
        <v>0.22066755929751347</v>
      </c>
    </row>
    <row r="116" spans="1:6" x14ac:dyDescent="0.35">
      <c r="A116" s="46" t="s">
        <v>19</v>
      </c>
      <c r="B116" s="46">
        <v>0.46428963000000001</v>
      </c>
      <c r="C116" s="149">
        <f t="shared" si="6"/>
        <v>9.3996439432403496E-3</v>
      </c>
      <c r="D116" s="46" t="s">
        <v>137</v>
      </c>
      <c r="E116" s="46">
        <v>10.319649070000001</v>
      </c>
      <c r="F116" s="149">
        <f t="shared" si="7"/>
        <v>0.21968092466512326</v>
      </c>
    </row>
    <row r="117" spans="1:6" x14ac:dyDescent="0.35">
      <c r="A117" s="419" t="s">
        <v>137</v>
      </c>
      <c r="B117" s="419">
        <v>0.45803926</v>
      </c>
      <c r="C117" s="482">
        <f t="shared" si="6"/>
        <v>9.2731038512001481E-3</v>
      </c>
      <c r="D117" s="419" t="s">
        <v>381</v>
      </c>
      <c r="E117" s="419">
        <v>9.9218676300000013</v>
      </c>
      <c r="F117" s="482">
        <f t="shared" si="7"/>
        <v>0.21121309848604716</v>
      </c>
    </row>
    <row r="118" spans="1:6" x14ac:dyDescent="0.35">
      <c r="A118" s="46" t="s">
        <v>214</v>
      </c>
      <c r="B118" s="46">
        <v>0.45754075</v>
      </c>
      <c r="C118" s="149">
        <f t="shared" si="6"/>
        <v>9.2630114084674836E-3</v>
      </c>
      <c r="D118" s="46" t="s">
        <v>93</v>
      </c>
      <c r="E118" s="46">
        <v>9.8337587699999993</v>
      </c>
      <c r="F118" s="149">
        <f t="shared" si="7"/>
        <v>0.20933746921758112</v>
      </c>
    </row>
    <row r="119" spans="1:6" x14ac:dyDescent="0.35">
      <c r="A119" s="419" t="s">
        <v>60</v>
      </c>
      <c r="B119" s="419">
        <v>0.43572290000000002</v>
      </c>
      <c r="C119" s="482">
        <f t="shared" ref="C119:C150" si="8">(B119/$B$269)*100</f>
        <v>8.8213043179881517E-3</v>
      </c>
      <c r="D119" s="419" t="s">
        <v>64</v>
      </c>
      <c r="E119" s="419">
        <v>9.4682354199999992</v>
      </c>
      <c r="F119" s="482">
        <f t="shared" si="7"/>
        <v>0.20155634149027041</v>
      </c>
    </row>
    <row r="120" spans="1:6" x14ac:dyDescent="0.35">
      <c r="A120" s="46" t="s">
        <v>4</v>
      </c>
      <c r="B120" s="46">
        <v>0.42461129999999997</v>
      </c>
      <c r="C120" s="149">
        <f t="shared" si="8"/>
        <v>8.5963475735531952E-3</v>
      </c>
      <c r="D120" s="46" t="s">
        <v>132</v>
      </c>
      <c r="E120" s="46">
        <v>9.24022173</v>
      </c>
      <c r="F120" s="149">
        <f t="shared" si="7"/>
        <v>0.19670246923979601</v>
      </c>
    </row>
    <row r="121" spans="1:6" x14ac:dyDescent="0.35">
      <c r="A121" s="419" t="s">
        <v>142</v>
      </c>
      <c r="B121" s="419">
        <v>0.40562205000000001</v>
      </c>
      <c r="C121" s="482">
        <f t="shared" si="8"/>
        <v>8.2119061016444287E-3</v>
      </c>
      <c r="D121" s="419" t="s">
        <v>86</v>
      </c>
      <c r="E121" s="419">
        <v>9.1836009999999995</v>
      </c>
      <c r="F121" s="482">
        <f t="shared" si="7"/>
        <v>0.19549714779550642</v>
      </c>
    </row>
    <row r="122" spans="1:6" x14ac:dyDescent="0.35">
      <c r="A122" s="46" t="s">
        <v>5</v>
      </c>
      <c r="B122" s="46">
        <v>0.39674843999999998</v>
      </c>
      <c r="C122" s="149">
        <f t="shared" si="8"/>
        <v>8.0322579486344706E-3</v>
      </c>
      <c r="D122" s="46" t="s">
        <v>100</v>
      </c>
      <c r="E122" s="46">
        <v>8.9185915500000004</v>
      </c>
      <c r="F122" s="149">
        <f t="shared" si="7"/>
        <v>0.18985572330266795</v>
      </c>
    </row>
    <row r="123" spans="1:6" x14ac:dyDescent="0.35">
      <c r="A123" s="419" t="s">
        <v>152</v>
      </c>
      <c r="B123" s="419">
        <v>0.36438395000000001</v>
      </c>
      <c r="C123" s="482">
        <f t="shared" si="8"/>
        <v>7.3770318510699767E-3</v>
      </c>
      <c r="D123" s="419" t="s">
        <v>166</v>
      </c>
      <c r="E123" s="419">
        <v>8.75507116</v>
      </c>
      <c r="F123" s="482">
        <f t="shared" si="7"/>
        <v>0.18637476089463118</v>
      </c>
    </row>
    <row r="124" spans="1:6" x14ac:dyDescent="0.35">
      <c r="A124" s="46" t="s">
        <v>129</v>
      </c>
      <c r="B124" s="46">
        <v>0.35832468000000001</v>
      </c>
      <c r="C124" s="149">
        <f t="shared" si="8"/>
        <v>7.2543606198474352E-3</v>
      </c>
      <c r="D124" s="46" t="s">
        <v>377</v>
      </c>
      <c r="E124" s="46">
        <v>8.5453656999999996</v>
      </c>
      <c r="F124" s="149">
        <f t="shared" si="7"/>
        <v>0.18191062756532553</v>
      </c>
    </row>
    <row r="125" spans="1:6" x14ac:dyDescent="0.35">
      <c r="A125" s="419" t="s">
        <v>72</v>
      </c>
      <c r="B125" s="419">
        <v>0.31324667</v>
      </c>
      <c r="C125" s="482">
        <f t="shared" si="8"/>
        <v>6.341746561097452E-3</v>
      </c>
      <c r="D125" s="419" t="s">
        <v>23</v>
      </c>
      <c r="E125" s="419">
        <v>8.5409096300000016</v>
      </c>
      <c r="F125" s="482">
        <f t="shared" si="7"/>
        <v>0.18181576837279564</v>
      </c>
    </row>
    <row r="126" spans="1:6" x14ac:dyDescent="0.35">
      <c r="A126" s="46" t="s">
        <v>144</v>
      </c>
      <c r="B126" s="46">
        <v>0.30647993000000001</v>
      </c>
      <c r="C126" s="149">
        <f t="shared" si="8"/>
        <v>6.2047524467630823E-3</v>
      </c>
      <c r="D126" s="46" t="s">
        <v>59</v>
      </c>
      <c r="E126" s="46">
        <v>8.5267785399999987</v>
      </c>
      <c r="F126" s="149">
        <f t="shared" si="7"/>
        <v>0.18151495088407391</v>
      </c>
    </row>
    <row r="127" spans="1:6" x14ac:dyDescent="0.35">
      <c r="A127" s="419" t="s">
        <v>158</v>
      </c>
      <c r="B127" s="419">
        <v>0.26833500999999998</v>
      </c>
      <c r="C127" s="482">
        <f t="shared" si="8"/>
        <v>5.4325002940639414E-3</v>
      </c>
      <c r="D127" s="419" t="s">
        <v>194</v>
      </c>
      <c r="E127" s="419">
        <v>8.4891378800000012</v>
      </c>
      <c r="F127" s="482">
        <f t="shared" si="7"/>
        <v>0.18071367024577747</v>
      </c>
    </row>
    <row r="128" spans="1:6" x14ac:dyDescent="0.35">
      <c r="A128" s="46" t="s">
        <v>93</v>
      </c>
      <c r="B128" s="46">
        <v>0.26013077000000001</v>
      </c>
      <c r="C128" s="149">
        <f t="shared" si="8"/>
        <v>5.2664036814282248E-3</v>
      </c>
      <c r="D128" s="46" t="s">
        <v>197</v>
      </c>
      <c r="E128" s="46">
        <v>8.3674849899999995</v>
      </c>
      <c r="F128" s="149">
        <f t="shared" si="7"/>
        <v>0.17812396790395307</v>
      </c>
    </row>
    <row r="129" spans="1:6" x14ac:dyDescent="0.35">
      <c r="A129" s="419" t="s">
        <v>166</v>
      </c>
      <c r="B129" s="419">
        <v>0.25544804999999998</v>
      </c>
      <c r="C129" s="482">
        <f t="shared" si="8"/>
        <v>5.1716010025790529E-3</v>
      </c>
      <c r="D129" s="419" t="s">
        <v>210</v>
      </c>
      <c r="E129" s="419">
        <v>8.2658439599999998</v>
      </c>
      <c r="F129" s="482">
        <f t="shared" si="7"/>
        <v>0.17596027073723194</v>
      </c>
    </row>
    <row r="130" spans="1:6" x14ac:dyDescent="0.35">
      <c r="A130" s="46" t="s">
        <v>164</v>
      </c>
      <c r="B130" s="46">
        <v>0.24505222000000002</v>
      </c>
      <c r="C130" s="149">
        <f t="shared" si="8"/>
        <v>4.9611351765504689E-3</v>
      </c>
      <c r="D130" s="46" t="s">
        <v>188</v>
      </c>
      <c r="E130" s="46">
        <v>8.2590851199999999</v>
      </c>
      <c r="F130" s="149">
        <f t="shared" si="7"/>
        <v>0.17581639101702129</v>
      </c>
    </row>
    <row r="131" spans="1:6" x14ac:dyDescent="0.35">
      <c r="A131" s="419" t="s">
        <v>207</v>
      </c>
      <c r="B131" s="419">
        <v>0.23493557000000001</v>
      </c>
      <c r="C131" s="482">
        <f t="shared" si="8"/>
        <v>4.7563214099832886E-3</v>
      </c>
      <c r="D131" s="419" t="s">
        <v>117</v>
      </c>
      <c r="E131" s="419">
        <v>8.1946793299999996</v>
      </c>
      <c r="F131" s="482">
        <f t="shared" si="7"/>
        <v>0.17444534405553894</v>
      </c>
    </row>
    <row r="132" spans="1:6" x14ac:dyDescent="0.35">
      <c r="A132" s="46" t="s">
        <v>182</v>
      </c>
      <c r="B132" s="46">
        <v>0.23186410000000002</v>
      </c>
      <c r="C132" s="149">
        <f t="shared" si="8"/>
        <v>4.6941388357518883E-3</v>
      </c>
      <c r="D132" s="46" t="s">
        <v>63</v>
      </c>
      <c r="E132" s="46">
        <v>7.7505235199999998</v>
      </c>
      <c r="F132" s="149">
        <f t="shared" si="7"/>
        <v>0.16499031720585297</v>
      </c>
    </row>
    <row r="133" spans="1:6" x14ac:dyDescent="0.35">
      <c r="A133" s="419" t="s">
        <v>12</v>
      </c>
      <c r="B133" s="419">
        <v>0.22576228000000001</v>
      </c>
      <c r="C133" s="482">
        <f t="shared" si="8"/>
        <v>4.5706061705796273E-3</v>
      </c>
      <c r="D133" s="419" t="s">
        <v>118</v>
      </c>
      <c r="E133" s="419">
        <v>7.6051676600000002</v>
      </c>
      <c r="F133" s="482">
        <f t="shared" si="7"/>
        <v>0.16189603468580852</v>
      </c>
    </row>
    <row r="134" spans="1:6" x14ac:dyDescent="0.35">
      <c r="A134" s="46" t="s">
        <v>69</v>
      </c>
      <c r="B134" s="46">
        <v>0.21219251</v>
      </c>
      <c r="C134" s="149">
        <f t="shared" si="8"/>
        <v>4.29588324301464E-3</v>
      </c>
      <c r="D134" s="46" t="s">
        <v>175</v>
      </c>
      <c r="E134" s="46">
        <v>7.2320330799999999</v>
      </c>
      <c r="F134" s="149">
        <f t="shared" si="7"/>
        <v>0.15395288187092965</v>
      </c>
    </row>
    <row r="135" spans="1:6" x14ac:dyDescent="0.35">
      <c r="A135" s="419" t="s">
        <v>112</v>
      </c>
      <c r="B135" s="419">
        <v>0.20617199</v>
      </c>
      <c r="C135" s="482">
        <f t="shared" si="8"/>
        <v>4.1739965139202225E-3</v>
      </c>
      <c r="D135" s="419" t="s">
        <v>11</v>
      </c>
      <c r="E135" s="419">
        <v>6.9765535300000003</v>
      </c>
      <c r="F135" s="482">
        <f t="shared" si="7"/>
        <v>0.14851432641266449</v>
      </c>
    </row>
    <row r="136" spans="1:6" x14ac:dyDescent="0.35">
      <c r="A136" s="46" t="s">
        <v>95</v>
      </c>
      <c r="B136" s="46">
        <v>0.20410043</v>
      </c>
      <c r="C136" s="149">
        <f t="shared" si="8"/>
        <v>4.1320573338289954E-3</v>
      </c>
      <c r="D136" s="46" t="s">
        <v>163</v>
      </c>
      <c r="E136" s="46">
        <v>6.89522396</v>
      </c>
      <c r="F136" s="149">
        <f t="shared" si="7"/>
        <v>0.14678301219654871</v>
      </c>
    </row>
    <row r="137" spans="1:6" x14ac:dyDescent="0.35">
      <c r="A137" s="419" t="s">
        <v>165</v>
      </c>
      <c r="B137" s="419">
        <v>0.19456785999999998</v>
      </c>
      <c r="C137" s="482">
        <f t="shared" si="8"/>
        <v>3.9390683931455374E-3</v>
      </c>
      <c r="D137" s="419" t="s">
        <v>351</v>
      </c>
      <c r="E137" s="419">
        <v>6.8777660199999993</v>
      </c>
      <c r="F137" s="482">
        <f t="shared" si="7"/>
        <v>0.14641137393870354</v>
      </c>
    </row>
    <row r="138" spans="1:6" x14ac:dyDescent="0.35">
      <c r="A138" s="46" t="s">
        <v>120</v>
      </c>
      <c r="B138" s="46">
        <v>0.19092875000000001</v>
      </c>
      <c r="C138" s="149">
        <f t="shared" si="8"/>
        <v>3.8653938243849019E-3</v>
      </c>
      <c r="D138" s="46" t="s">
        <v>126</v>
      </c>
      <c r="E138" s="46">
        <v>6.7906245599999995</v>
      </c>
      <c r="F138" s="149">
        <f t="shared" si="7"/>
        <v>0.14455633832851794</v>
      </c>
    </row>
    <row r="139" spans="1:6" x14ac:dyDescent="0.35">
      <c r="A139" s="419" t="s">
        <v>74</v>
      </c>
      <c r="B139" s="419">
        <v>0.18918885999999999</v>
      </c>
      <c r="C139" s="482">
        <f t="shared" si="8"/>
        <v>3.8301693751539231E-3</v>
      </c>
      <c r="D139" s="419" t="s">
        <v>95</v>
      </c>
      <c r="E139" s="419">
        <v>6.7500488600000006</v>
      </c>
      <c r="F139" s="482">
        <f t="shared" si="7"/>
        <v>0.14369257762944077</v>
      </c>
    </row>
    <row r="140" spans="1:6" x14ac:dyDescent="0.35">
      <c r="A140" s="46" t="s">
        <v>195</v>
      </c>
      <c r="B140" s="46">
        <v>0.18235312000000001</v>
      </c>
      <c r="C140" s="149">
        <f t="shared" si="8"/>
        <v>3.6917783409010892E-3</v>
      </c>
      <c r="D140" s="46" t="s">
        <v>123</v>
      </c>
      <c r="E140" s="46">
        <v>6.6718814000000002</v>
      </c>
      <c r="F140" s="149">
        <f t="shared" si="7"/>
        <v>0.14202857725742771</v>
      </c>
    </row>
    <row r="141" spans="1:6" x14ac:dyDescent="0.35">
      <c r="A141" s="419" t="s">
        <v>211</v>
      </c>
      <c r="B141" s="419">
        <v>0.15844637</v>
      </c>
      <c r="C141" s="482">
        <f t="shared" si="8"/>
        <v>3.2077810182814539E-3</v>
      </c>
      <c r="D141" s="419" t="s">
        <v>75</v>
      </c>
      <c r="E141" s="419">
        <v>6.3575353799999998</v>
      </c>
      <c r="F141" s="482">
        <f t="shared" si="7"/>
        <v>0.13533689386102696</v>
      </c>
    </row>
    <row r="142" spans="1:6" x14ac:dyDescent="0.35">
      <c r="A142" s="46" t="s">
        <v>132</v>
      </c>
      <c r="B142" s="46">
        <v>0.14937600000000001</v>
      </c>
      <c r="C142" s="149">
        <f t="shared" si="8"/>
        <v>3.024149416530088E-3</v>
      </c>
      <c r="D142" s="46" t="s">
        <v>102</v>
      </c>
      <c r="E142" s="46">
        <v>6.2438407500000004</v>
      </c>
      <c r="F142" s="149">
        <f t="shared" si="7"/>
        <v>0.13291660405480984</v>
      </c>
    </row>
    <row r="143" spans="1:6" x14ac:dyDescent="0.35">
      <c r="A143" s="419" t="s">
        <v>57</v>
      </c>
      <c r="B143" s="419">
        <v>0.14346575</v>
      </c>
      <c r="C143" s="482">
        <f t="shared" si="8"/>
        <v>2.9044951274271066E-3</v>
      </c>
      <c r="D143" s="419" t="s">
        <v>172</v>
      </c>
      <c r="E143" s="419">
        <v>6.0442081200000004</v>
      </c>
      <c r="F143" s="482">
        <f t="shared" si="7"/>
        <v>0.12866689745584986</v>
      </c>
    </row>
    <row r="144" spans="1:6" x14ac:dyDescent="0.35">
      <c r="A144" s="46" t="s">
        <v>355</v>
      </c>
      <c r="B144" s="46">
        <v>0.14288000000000001</v>
      </c>
      <c r="C144" s="149">
        <f t="shared" si="8"/>
        <v>2.8926364920323143E-3</v>
      </c>
      <c r="D144" s="46" t="s">
        <v>375</v>
      </c>
      <c r="E144" s="46">
        <v>5.8687391699999996</v>
      </c>
      <c r="F144" s="149">
        <f t="shared" si="7"/>
        <v>0.12493157846151716</v>
      </c>
    </row>
    <row r="145" spans="1:6" x14ac:dyDescent="0.35">
      <c r="A145" s="419" t="s">
        <v>134</v>
      </c>
      <c r="B145" s="419">
        <v>0.13483742999999998</v>
      </c>
      <c r="C145" s="482">
        <f t="shared" si="8"/>
        <v>2.7298129235012085E-3</v>
      </c>
      <c r="D145" s="419" t="s">
        <v>168</v>
      </c>
      <c r="E145" s="419">
        <v>5.8309681399999995</v>
      </c>
      <c r="F145" s="482">
        <f t="shared" si="7"/>
        <v>0.12412752255422127</v>
      </c>
    </row>
    <row r="146" spans="1:6" x14ac:dyDescent="0.35">
      <c r="A146" s="46" t="s">
        <v>168</v>
      </c>
      <c r="B146" s="46">
        <v>0.11090633999999999</v>
      </c>
      <c r="C146" s="149">
        <f t="shared" si="8"/>
        <v>2.2453228323190307E-3</v>
      </c>
      <c r="D146" s="46" t="s">
        <v>209</v>
      </c>
      <c r="E146" s="46">
        <v>5.8270184400000007</v>
      </c>
      <c r="F146" s="149">
        <f t="shared" si="7"/>
        <v>0.12404344278152127</v>
      </c>
    </row>
    <row r="147" spans="1:6" x14ac:dyDescent="0.35">
      <c r="A147" s="419" t="s">
        <v>82</v>
      </c>
      <c r="B147" s="419">
        <v>9.2499999999999999E-2</v>
      </c>
      <c r="C147" s="482">
        <f t="shared" si="8"/>
        <v>1.872682499391021E-3</v>
      </c>
      <c r="D147" s="419" t="s">
        <v>67</v>
      </c>
      <c r="E147" s="419">
        <v>5.6552497300000004</v>
      </c>
      <c r="F147" s="482">
        <f t="shared" si="7"/>
        <v>0.12038689314641476</v>
      </c>
    </row>
    <row r="148" spans="1:6" x14ac:dyDescent="0.35">
      <c r="A148" s="46" t="s">
        <v>114</v>
      </c>
      <c r="B148" s="46">
        <v>9.2029039999999993E-2</v>
      </c>
      <c r="C148" s="149">
        <f t="shared" si="8"/>
        <v>1.8631478123649319E-3</v>
      </c>
      <c r="D148" s="46" t="s">
        <v>187</v>
      </c>
      <c r="E148" s="46">
        <v>5.5599504900000003</v>
      </c>
      <c r="F148" s="149">
        <f t="shared" si="7"/>
        <v>0.11835819769164932</v>
      </c>
    </row>
    <row r="149" spans="1:6" x14ac:dyDescent="0.35">
      <c r="A149" s="419" t="s">
        <v>198</v>
      </c>
      <c r="B149" s="419">
        <v>8.9009649999999996E-2</v>
      </c>
      <c r="C149" s="482">
        <f t="shared" si="8"/>
        <v>1.8020196089937293E-3</v>
      </c>
      <c r="D149" s="419" t="s">
        <v>159</v>
      </c>
      <c r="E149" s="419">
        <v>5.3346099100000002</v>
      </c>
      <c r="F149" s="482">
        <f t="shared" si="7"/>
        <v>0.11356122963167097</v>
      </c>
    </row>
    <row r="150" spans="1:6" x14ac:dyDescent="0.35">
      <c r="A150" s="46" t="s">
        <v>16</v>
      </c>
      <c r="B150" s="46">
        <v>8.2253000000000007E-2</v>
      </c>
      <c r="C150" s="149">
        <f t="shared" si="8"/>
        <v>1.6652297688909154E-3</v>
      </c>
      <c r="D150" s="46" t="s">
        <v>353</v>
      </c>
      <c r="E150" s="46">
        <v>5.0421601300000001</v>
      </c>
      <c r="F150" s="149">
        <f t="shared" si="7"/>
        <v>0.10733566540436805</v>
      </c>
    </row>
    <row r="151" spans="1:6" x14ac:dyDescent="0.35">
      <c r="A151" s="419" t="s">
        <v>181</v>
      </c>
      <c r="B151" s="419">
        <v>7.9314399999999993E-2</v>
      </c>
      <c r="C151" s="482">
        <f t="shared" ref="C151:C182" si="9">(B151/$B$269)*100</f>
        <v>1.6057371765372884E-3</v>
      </c>
      <c r="D151" s="419" t="s">
        <v>88</v>
      </c>
      <c r="E151" s="419">
        <v>4.9123874499999998</v>
      </c>
      <c r="F151" s="482">
        <f t="shared" ref="F151:F214" si="10">(E151/$E$269)*100</f>
        <v>0.10457311193522462</v>
      </c>
    </row>
    <row r="152" spans="1:6" x14ac:dyDescent="0.35">
      <c r="A152" s="46" t="s">
        <v>150</v>
      </c>
      <c r="B152" s="46">
        <v>7.7658089999999999E-2</v>
      </c>
      <c r="C152" s="149">
        <f t="shared" si="9"/>
        <v>1.5722048224771116E-3</v>
      </c>
      <c r="D152" s="46" t="s">
        <v>190</v>
      </c>
      <c r="E152" s="46">
        <v>4.8809398099999992</v>
      </c>
      <c r="F152" s="149">
        <f t="shared" si="10"/>
        <v>0.10390366604739697</v>
      </c>
    </row>
    <row r="153" spans="1:6" x14ac:dyDescent="0.35">
      <c r="A153" s="419" t="s">
        <v>100</v>
      </c>
      <c r="B153" s="419">
        <v>6.7096249999999996E-2</v>
      </c>
      <c r="C153" s="482">
        <f t="shared" si="9"/>
        <v>1.3583780881055653E-3</v>
      </c>
      <c r="D153" s="419" t="s">
        <v>196</v>
      </c>
      <c r="E153" s="419">
        <v>4.8641856100000007</v>
      </c>
      <c r="F153" s="482">
        <f t="shared" si="10"/>
        <v>0.10354700874993868</v>
      </c>
    </row>
    <row r="154" spans="1:6" x14ac:dyDescent="0.35">
      <c r="A154" s="46" t="s">
        <v>6</v>
      </c>
      <c r="B154" s="46">
        <v>6.7064399999999996E-2</v>
      </c>
      <c r="C154" s="149">
        <f t="shared" si="9"/>
        <v>1.3577332779692883E-3</v>
      </c>
      <c r="D154" s="46" t="s">
        <v>213</v>
      </c>
      <c r="E154" s="46">
        <v>4.6541392699999999</v>
      </c>
      <c r="F154" s="149">
        <f t="shared" si="10"/>
        <v>9.9075618891550296E-2</v>
      </c>
    </row>
    <row r="155" spans="1:6" x14ac:dyDescent="0.35">
      <c r="A155" s="419" t="s">
        <v>685</v>
      </c>
      <c r="B155" s="419">
        <v>6.4621020000000001E-2</v>
      </c>
      <c r="C155" s="482">
        <f t="shared" si="9"/>
        <v>1.3082665215869962E-3</v>
      </c>
      <c r="D155" s="419" t="s">
        <v>115</v>
      </c>
      <c r="E155" s="419">
        <v>4.6380918700000002</v>
      </c>
      <c r="F155" s="482">
        <f t="shared" si="10"/>
        <v>9.8734007694642537E-2</v>
      </c>
    </row>
    <row r="156" spans="1:6" x14ac:dyDescent="0.35">
      <c r="A156" s="46" t="s">
        <v>160</v>
      </c>
      <c r="B156" s="46">
        <v>6.0902379999999999E-2</v>
      </c>
      <c r="C156" s="149">
        <f t="shared" si="9"/>
        <v>1.2329818507812078E-3</v>
      </c>
      <c r="D156" s="46" t="s">
        <v>6</v>
      </c>
      <c r="E156" s="46">
        <v>4.5810902800000006</v>
      </c>
      <c r="F156" s="149">
        <f t="shared" si="10"/>
        <v>9.752057864161541E-2</v>
      </c>
    </row>
    <row r="157" spans="1:6" x14ac:dyDescent="0.35">
      <c r="A157" s="419" t="s">
        <v>123</v>
      </c>
      <c r="B157" s="419">
        <v>5.5740120000000004E-2</v>
      </c>
      <c r="C157" s="482">
        <f t="shared" si="9"/>
        <v>1.1284707809508696E-3</v>
      </c>
      <c r="D157" s="419" t="s">
        <v>147</v>
      </c>
      <c r="E157" s="419">
        <v>4.2383039599999996</v>
      </c>
      <c r="F157" s="482">
        <f t="shared" si="10"/>
        <v>9.0223468514191774E-2</v>
      </c>
    </row>
    <row r="158" spans="1:6" x14ac:dyDescent="0.35">
      <c r="A158" s="46" t="s">
        <v>197</v>
      </c>
      <c r="B158" s="46">
        <v>5.2064680000000002E-2</v>
      </c>
      <c r="C158" s="149">
        <f t="shared" si="9"/>
        <v>1.0540607034853372E-3</v>
      </c>
      <c r="D158" s="46" t="s">
        <v>357</v>
      </c>
      <c r="E158" s="46">
        <v>4.1528464999999999</v>
      </c>
      <c r="F158" s="149">
        <f t="shared" si="10"/>
        <v>8.8404281281661903E-2</v>
      </c>
    </row>
    <row r="159" spans="1:6" x14ac:dyDescent="0.35">
      <c r="A159" s="419" t="s">
        <v>136</v>
      </c>
      <c r="B159" s="419">
        <v>4.9043699999999996E-2</v>
      </c>
      <c r="C159" s="482">
        <f t="shared" si="9"/>
        <v>9.9290031022036102E-4</v>
      </c>
      <c r="D159" s="419" t="s">
        <v>150</v>
      </c>
      <c r="E159" s="419">
        <v>3.9623877999999997</v>
      </c>
      <c r="F159" s="482">
        <f t="shared" si="10"/>
        <v>8.4349865957777506E-2</v>
      </c>
    </row>
    <row r="160" spans="1:6" x14ac:dyDescent="0.35">
      <c r="A160" s="46" t="s">
        <v>49</v>
      </c>
      <c r="B160" s="46">
        <v>4.5710000000000001E-2</v>
      </c>
      <c r="C160" s="149">
        <f t="shared" si="9"/>
        <v>9.2540883294230894E-4</v>
      </c>
      <c r="D160" s="46" t="s">
        <v>129</v>
      </c>
      <c r="E160" s="46">
        <v>3.8054266000000001</v>
      </c>
      <c r="F160" s="149">
        <f t="shared" si="10"/>
        <v>8.100853319358621E-2</v>
      </c>
    </row>
    <row r="161" spans="1:6" x14ac:dyDescent="0.35">
      <c r="A161" s="419" t="s">
        <v>147</v>
      </c>
      <c r="B161" s="419">
        <v>4.4801199999999999E-2</v>
      </c>
      <c r="C161" s="482">
        <f t="shared" si="9"/>
        <v>9.0700998045099477E-4</v>
      </c>
      <c r="D161" s="419" t="s">
        <v>25</v>
      </c>
      <c r="E161" s="419">
        <v>3.7919969300000003</v>
      </c>
      <c r="F161" s="482">
        <f t="shared" si="10"/>
        <v>8.0722647277937778E-2</v>
      </c>
    </row>
    <row r="162" spans="1:6" x14ac:dyDescent="0.35">
      <c r="A162" s="46" t="s">
        <v>31</v>
      </c>
      <c r="B162" s="46">
        <v>4.4560000000000002E-2</v>
      </c>
      <c r="C162" s="149">
        <f t="shared" si="9"/>
        <v>9.0212683430123124E-4</v>
      </c>
      <c r="D162" s="46" t="s">
        <v>685</v>
      </c>
      <c r="E162" s="46">
        <v>3.58197922</v>
      </c>
      <c r="F162" s="149">
        <f t="shared" si="10"/>
        <v>7.6251866884544828E-2</v>
      </c>
    </row>
    <row r="163" spans="1:6" x14ac:dyDescent="0.35">
      <c r="A163" s="419" t="s">
        <v>66</v>
      </c>
      <c r="B163" s="419">
        <v>4.1739129999999999E-2</v>
      </c>
      <c r="C163" s="482">
        <f t="shared" si="9"/>
        <v>8.4501771125196476E-4</v>
      </c>
      <c r="D163" s="419" t="s">
        <v>215</v>
      </c>
      <c r="E163" s="419">
        <v>3.4593511800000001</v>
      </c>
      <c r="F163" s="482">
        <f t="shared" si="10"/>
        <v>7.3641405905267396E-2</v>
      </c>
    </row>
    <row r="164" spans="1:6" x14ac:dyDescent="0.35">
      <c r="A164" s="46" t="s">
        <v>21</v>
      </c>
      <c r="B164" s="46">
        <v>4.0818E-2</v>
      </c>
      <c r="C164" s="149">
        <f t="shared" si="9"/>
        <v>8.2636923524478576E-4</v>
      </c>
      <c r="D164" s="46" t="s">
        <v>212</v>
      </c>
      <c r="E164" s="46">
        <v>3.3035888799999999</v>
      </c>
      <c r="F164" s="149">
        <f t="shared" si="10"/>
        <v>7.0325594886902362E-2</v>
      </c>
    </row>
    <row r="165" spans="1:6" x14ac:dyDescent="0.35">
      <c r="A165" s="419" t="s">
        <v>190</v>
      </c>
      <c r="B165" s="419">
        <v>3.8372540000000004E-2</v>
      </c>
      <c r="C165" s="482">
        <f t="shared" si="9"/>
        <v>7.7686036881277761E-4</v>
      </c>
      <c r="D165" s="419" t="s">
        <v>177</v>
      </c>
      <c r="E165" s="419">
        <v>3.1263906000000001</v>
      </c>
      <c r="F165" s="482">
        <f t="shared" si="10"/>
        <v>6.6553462546410938E-2</v>
      </c>
    </row>
    <row r="166" spans="1:6" x14ac:dyDescent="0.35">
      <c r="A166" s="46" t="s">
        <v>89</v>
      </c>
      <c r="B166" s="46">
        <v>3.6355660000000005E-2</v>
      </c>
      <c r="C166" s="149">
        <f t="shared" si="9"/>
        <v>7.3602819714389367E-4</v>
      </c>
      <c r="D166" s="46" t="s">
        <v>349</v>
      </c>
      <c r="E166" s="46">
        <v>3.1102427400000003</v>
      </c>
      <c r="F166" s="149">
        <f t="shared" si="10"/>
        <v>6.6209712793672215E-2</v>
      </c>
    </row>
    <row r="167" spans="1:6" x14ac:dyDescent="0.35">
      <c r="A167" s="419" t="s">
        <v>149</v>
      </c>
      <c r="B167" s="419">
        <v>3.5850639999999996E-2</v>
      </c>
      <c r="C167" s="482">
        <f t="shared" si="9"/>
        <v>7.2580395805370496E-4</v>
      </c>
      <c r="D167" s="419" t="s">
        <v>136</v>
      </c>
      <c r="E167" s="419">
        <v>2.7181019100000001</v>
      </c>
      <c r="F167" s="482">
        <f t="shared" si="10"/>
        <v>5.7861961862511052E-2</v>
      </c>
    </row>
    <row r="168" spans="1:6" x14ac:dyDescent="0.35">
      <c r="A168" s="46" t="s">
        <v>193</v>
      </c>
      <c r="B168" s="46">
        <v>2.8930999999999998E-2</v>
      </c>
      <c r="C168" s="149">
        <f t="shared" si="9"/>
        <v>5.8571435016088237E-4</v>
      </c>
      <c r="D168" s="46" t="s">
        <v>369</v>
      </c>
      <c r="E168" s="46">
        <v>2.7171286600000002</v>
      </c>
      <c r="F168" s="149">
        <f t="shared" si="10"/>
        <v>5.7841243671564818E-2</v>
      </c>
    </row>
    <row r="169" spans="1:6" x14ac:dyDescent="0.35">
      <c r="A169" s="419" t="s">
        <v>107</v>
      </c>
      <c r="B169" s="419">
        <v>2.8405099999999999E-2</v>
      </c>
      <c r="C169" s="482">
        <f t="shared" si="9"/>
        <v>5.7506739095623664E-4</v>
      </c>
      <c r="D169" s="419" t="s">
        <v>2</v>
      </c>
      <c r="E169" s="419">
        <v>2.69033437</v>
      </c>
      <c r="F169" s="482">
        <f t="shared" si="10"/>
        <v>5.7270856600936892E-2</v>
      </c>
    </row>
    <row r="170" spans="1:6" x14ac:dyDescent="0.35">
      <c r="A170" s="46" t="s">
        <v>32</v>
      </c>
      <c r="B170" s="46">
        <v>2.6602750000000001E-2</v>
      </c>
      <c r="C170" s="149">
        <f t="shared" si="9"/>
        <v>5.3857842552080518E-4</v>
      </c>
      <c r="D170" s="46" t="s">
        <v>121</v>
      </c>
      <c r="E170" s="46">
        <v>2.4614623799999999</v>
      </c>
      <c r="F170" s="149">
        <f t="shared" si="10"/>
        <v>5.2398713173181087E-2</v>
      </c>
    </row>
    <row r="171" spans="1:6" x14ac:dyDescent="0.35">
      <c r="A171" s="419" t="s">
        <v>196</v>
      </c>
      <c r="B171" s="419">
        <v>2.645598E-2</v>
      </c>
      <c r="C171" s="482">
        <f t="shared" si="9"/>
        <v>5.356070351377174E-4</v>
      </c>
      <c r="D171" s="419" t="s">
        <v>120</v>
      </c>
      <c r="E171" s="419">
        <v>2.4221914300000003</v>
      </c>
      <c r="F171" s="482">
        <f t="shared" si="10"/>
        <v>5.1562727516114765E-2</v>
      </c>
    </row>
    <row r="172" spans="1:6" x14ac:dyDescent="0.35">
      <c r="A172" s="46" t="s">
        <v>213</v>
      </c>
      <c r="B172" s="46">
        <v>2.604103E-2</v>
      </c>
      <c r="C172" s="149">
        <f t="shared" si="9"/>
        <v>5.272062826715304E-4</v>
      </c>
      <c r="D172" s="46" t="s">
        <v>111</v>
      </c>
      <c r="E172" s="46">
        <v>2.2328250999999999</v>
      </c>
      <c r="F172" s="149">
        <f t="shared" si="10"/>
        <v>4.7531566166280126E-2</v>
      </c>
    </row>
    <row r="173" spans="1:6" x14ac:dyDescent="0.35">
      <c r="A173" s="419" t="s">
        <v>53</v>
      </c>
      <c r="B173" s="419">
        <v>2.4382069999999999E-2</v>
      </c>
      <c r="C173" s="482">
        <f t="shared" si="9"/>
        <v>4.9362027878839814E-4</v>
      </c>
      <c r="D173" s="419" t="s">
        <v>53</v>
      </c>
      <c r="E173" s="419">
        <v>2.1647500000000002</v>
      </c>
      <c r="F173" s="482">
        <f t="shared" si="10"/>
        <v>4.608240827212795E-2</v>
      </c>
    </row>
    <row r="174" spans="1:6" x14ac:dyDescent="0.35">
      <c r="A174" s="46" t="s">
        <v>161</v>
      </c>
      <c r="B174" s="46">
        <v>2.1517919999999999E-2</v>
      </c>
      <c r="C174" s="149">
        <f t="shared" si="9"/>
        <v>4.3563494278157878E-4</v>
      </c>
      <c r="D174" s="46" t="s">
        <v>114</v>
      </c>
      <c r="E174" s="46">
        <v>2.1478574100000003</v>
      </c>
      <c r="F174" s="149">
        <f t="shared" si="10"/>
        <v>4.5722804978836046E-2</v>
      </c>
    </row>
    <row r="175" spans="1:6" x14ac:dyDescent="0.35">
      <c r="A175" s="419" t="s">
        <v>169</v>
      </c>
      <c r="B175" s="419">
        <v>1.9928000000000001E-2</v>
      </c>
      <c r="C175" s="482">
        <f t="shared" si="9"/>
        <v>4.0344666862555961E-4</v>
      </c>
      <c r="D175" s="419" t="s">
        <v>109</v>
      </c>
      <c r="E175" s="419">
        <v>2.1447323900000002</v>
      </c>
      <c r="F175" s="482">
        <f t="shared" si="10"/>
        <v>4.5656280693122421E-2</v>
      </c>
    </row>
    <row r="176" spans="1:6" x14ac:dyDescent="0.35">
      <c r="A176" s="46" t="s">
        <v>204</v>
      </c>
      <c r="B176" s="46">
        <v>1.9565529999999998E-2</v>
      </c>
      <c r="C176" s="149">
        <f t="shared" si="9"/>
        <v>3.9610838510605398E-4</v>
      </c>
      <c r="D176" s="46" t="s">
        <v>36</v>
      </c>
      <c r="E176" s="46">
        <v>2.1371722100000001</v>
      </c>
      <c r="F176" s="149">
        <f t="shared" si="10"/>
        <v>4.5495342339330627E-2</v>
      </c>
    </row>
    <row r="177" spans="1:6" x14ac:dyDescent="0.35">
      <c r="A177" s="419" t="s">
        <v>33</v>
      </c>
      <c r="B177" s="419">
        <v>1.7644799999999999E-2</v>
      </c>
      <c r="C177" s="482">
        <f t="shared" si="9"/>
        <v>3.572227909757263E-4</v>
      </c>
      <c r="D177" s="419" t="s">
        <v>161</v>
      </c>
      <c r="E177" s="419">
        <v>2.0651842500000002</v>
      </c>
      <c r="F177" s="482">
        <f t="shared" si="10"/>
        <v>4.3962888908958705E-2</v>
      </c>
    </row>
    <row r="178" spans="1:6" x14ac:dyDescent="0.35">
      <c r="A178" s="46" t="s">
        <v>187</v>
      </c>
      <c r="B178" s="46">
        <v>1.4108379999999998E-2</v>
      </c>
      <c r="C178" s="149">
        <f t="shared" si="9"/>
        <v>2.8562720346765721E-4</v>
      </c>
      <c r="D178" s="46" t="s">
        <v>164</v>
      </c>
      <c r="E178" s="46">
        <v>2.0486389900000002</v>
      </c>
      <c r="F178" s="149">
        <f t="shared" si="10"/>
        <v>4.361067944999647E-2</v>
      </c>
    </row>
    <row r="179" spans="1:6" x14ac:dyDescent="0.35">
      <c r="A179" s="419" t="s">
        <v>126</v>
      </c>
      <c r="B179" s="419">
        <v>1.3892479999999999E-2</v>
      </c>
      <c r="C179" s="482">
        <f t="shared" si="9"/>
        <v>2.812562612879975E-4</v>
      </c>
      <c r="D179" s="419" t="s">
        <v>383</v>
      </c>
      <c r="E179" s="419">
        <v>1.99089323</v>
      </c>
      <c r="F179" s="482">
        <f t="shared" si="10"/>
        <v>4.2381408777491872E-2</v>
      </c>
    </row>
    <row r="180" spans="1:6" x14ac:dyDescent="0.35">
      <c r="A180" s="46" t="s">
        <v>67</v>
      </c>
      <c r="B180" s="46">
        <v>1.2500000000000001E-2</v>
      </c>
      <c r="C180" s="149">
        <f t="shared" si="9"/>
        <v>2.5306520262040826E-4</v>
      </c>
      <c r="D180" s="46" t="s">
        <v>380</v>
      </c>
      <c r="E180" s="46">
        <v>1.9412051100000001</v>
      </c>
      <c r="F180" s="149">
        <f t="shared" si="10"/>
        <v>4.1323666205779444E-2</v>
      </c>
    </row>
    <row r="181" spans="1:6" x14ac:dyDescent="0.35">
      <c r="A181" s="419" t="s">
        <v>23</v>
      </c>
      <c r="B181" s="419">
        <v>1.2003E-2</v>
      </c>
      <c r="C181" s="482">
        <f t="shared" si="9"/>
        <v>2.4300333016422082E-4</v>
      </c>
      <c r="D181" s="419" t="s">
        <v>155</v>
      </c>
      <c r="E181" s="419">
        <v>1.7707256200000001</v>
      </c>
      <c r="F181" s="482">
        <f t="shared" si="10"/>
        <v>3.7694561015709394E-2</v>
      </c>
    </row>
    <row r="182" spans="1:6" x14ac:dyDescent="0.35">
      <c r="A182" s="46" t="s">
        <v>210</v>
      </c>
      <c r="B182" s="46">
        <v>1.185685E-2</v>
      </c>
      <c r="C182" s="149">
        <f t="shared" si="9"/>
        <v>2.4004449181518297E-4</v>
      </c>
      <c r="D182" s="46" t="s">
        <v>370</v>
      </c>
      <c r="E182" s="46">
        <v>1.75804841</v>
      </c>
      <c r="F182" s="149">
        <f t="shared" si="10"/>
        <v>3.7424693194034131E-2</v>
      </c>
    </row>
    <row r="183" spans="1:6" x14ac:dyDescent="0.35">
      <c r="A183" s="419" t="s">
        <v>212</v>
      </c>
      <c r="B183" s="419">
        <v>9.4640000000000002E-3</v>
      </c>
      <c r="C183" s="482">
        <f t="shared" ref="C183:C208" si="11">(B183/$B$269)*100</f>
        <v>1.916007262079635E-4</v>
      </c>
      <c r="D183" s="419" t="s">
        <v>72</v>
      </c>
      <c r="E183" s="419">
        <v>1.7367364299999999</v>
      </c>
      <c r="F183" s="482">
        <f t="shared" si="10"/>
        <v>3.697101153867096E-2</v>
      </c>
    </row>
    <row r="184" spans="1:6" x14ac:dyDescent="0.35">
      <c r="A184" s="46" t="s">
        <v>22</v>
      </c>
      <c r="B184" s="46">
        <v>9.1335400000000008E-3</v>
      </c>
      <c r="C184" s="149">
        <f t="shared" si="11"/>
        <v>1.8491049205932828E-4</v>
      </c>
      <c r="D184" s="46" t="s">
        <v>110</v>
      </c>
      <c r="E184" s="46">
        <v>1.65148384</v>
      </c>
      <c r="F184" s="149">
        <f t="shared" si="10"/>
        <v>3.5156185503961955E-2</v>
      </c>
    </row>
    <row r="185" spans="1:6" x14ac:dyDescent="0.35">
      <c r="A185" s="419" t="s">
        <v>43</v>
      </c>
      <c r="B185" s="419">
        <v>7.1799100000000003E-3</v>
      </c>
      <c r="C185" s="482">
        <f t="shared" si="11"/>
        <v>1.4535883031570362E-4</v>
      </c>
      <c r="D185" s="419" t="s">
        <v>122</v>
      </c>
      <c r="E185" s="419">
        <v>1.5378950200000001</v>
      </c>
      <c r="F185" s="482">
        <f t="shared" si="10"/>
        <v>3.2738148142424012E-2</v>
      </c>
    </row>
    <row r="186" spans="1:6" x14ac:dyDescent="0.35">
      <c r="A186" s="46" t="s">
        <v>13</v>
      </c>
      <c r="B186" s="46">
        <v>6.8252499999999997E-3</v>
      </c>
      <c r="C186" s="149">
        <f t="shared" si="11"/>
        <v>1.3817866193479531E-4</v>
      </c>
      <c r="D186" s="46" t="s">
        <v>181</v>
      </c>
      <c r="E186" s="46">
        <v>1.4841441599999998</v>
      </c>
      <c r="F186" s="149">
        <f t="shared" si="10"/>
        <v>3.159391944372994E-2</v>
      </c>
    </row>
    <row r="187" spans="1:6" x14ac:dyDescent="0.35">
      <c r="A187" s="419" t="s">
        <v>167</v>
      </c>
      <c r="B187" s="419">
        <v>6.5319999999999996E-3</v>
      </c>
      <c r="C187" s="482">
        <f t="shared" si="11"/>
        <v>1.3224175228132053E-4</v>
      </c>
      <c r="D187" s="419" t="s">
        <v>10</v>
      </c>
      <c r="E187" s="419">
        <v>1.4692470399999999</v>
      </c>
      <c r="F187" s="482">
        <f t="shared" si="10"/>
        <v>3.1276794987825617E-2</v>
      </c>
    </row>
    <row r="188" spans="1:6" x14ac:dyDescent="0.35">
      <c r="A188" s="46" t="s">
        <v>24</v>
      </c>
      <c r="B188" s="46">
        <v>5.5180000000000003E-3</v>
      </c>
      <c r="C188" s="149">
        <f t="shared" si="11"/>
        <v>1.1171310304475302E-4</v>
      </c>
      <c r="D188" s="46" t="s">
        <v>167</v>
      </c>
      <c r="E188" s="46">
        <v>1.3691057900000001</v>
      </c>
      <c r="F188" s="149">
        <f t="shared" si="10"/>
        <v>2.9145024590605972E-2</v>
      </c>
    </row>
    <row r="189" spans="1:6" x14ac:dyDescent="0.35">
      <c r="A189" s="419" t="s">
        <v>191</v>
      </c>
      <c r="B189" s="419">
        <v>5.3449999999999999E-3</v>
      </c>
      <c r="C189" s="482">
        <f t="shared" si="11"/>
        <v>1.0821068064048655E-4</v>
      </c>
      <c r="D189" s="419" t="s">
        <v>87</v>
      </c>
      <c r="E189" s="419">
        <v>1.3428128100000001</v>
      </c>
      <c r="F189" s="482">
        <f t="shared" si="10"/>
        <v>2.8585309224373894E-2</v>
      </c>
    </row>
    <row r="190" spans="1:6" x14ac:dyDescent="0.35">
      <c r="A190" s="46" t="s">
        <v>47</v>
      </c>
      <c r="B190" s="46">
        <v>4.9316899999999999E-3</v>
      </c>
      <c r="C190" s="149">
        <f t="shared" si="11"/>
        <v>9.9843130328883278E-5</v>
      </c>
      <c r="D190" s="46" t="s">
        <v>45</v>
      </c>
      <c r="E190" s="46">
        <v>1.26237223</v>
      </c>
      <c r="F190" s="149">
        <f t="shared" si="10"/>
        <v>2.6872919503063447E-2</v>
      </c>
    </row>
    <row r="191" spans="1:6" x14ac:dyDescent="0.35">
      <c r="A191" s="419" t="s">
        <v>92</v>
      </c>
      <c r="B191" s="419">
        <v>4.6850099999999999E-3</v>
      </c>
      <c r="C191" s="482">
        <f t="shared" si="11"/>
        <v>9.4849040394291102E-5</v>
      </c>
      <c r="D191" s="419" t="s">
        <v>0</v>
      </c>
      <c r="E191" s="419">
        <v>1.0252240500000001</v>
      </c>
      <c r="F191" s="482">
        <f t="shared" si="10"/>
        <v>2.182459556184526E-2</v>
      </c>
    </row>
    <row r="192" spans="1:6" x14ac:dyDescent="0.35">
      <c r="A192" s="46" t="s">
        <v>14</v>
      </c>
      <c r="B192" s="46">
        <v>4.4447000000000002E-3</v>
      </c>
      <c r="C192" s="149">
        <f t="shared" si="11"/>
        <v>8.9983912486954278E-5</v>
      </c>
      <c r="D192" s="46" t="s">
        <v>669</v>
      </c>
      <c r="E192" s="46">
        <v>1.01741134</v>
      </c>
      <c r="F192" s="149">
        <f t="shared" si="10"/>
        <v>2.165828144153957E-2</v>
      </c>
    </row>
    <row r="193" spans="1:6" x14ac:dyDescent="0.35">
      <c r="A193" s="419" t="s">
        <v>26</v>
      </c>
      <c r="B193" s="419">
        <v>4.1601499999999996E-3</v>
      </c>
      <c r="C193" s="482">
        <f t="shared" si="11"/>
        <v>8.4223136214503296E-5</v>
      </c>
      <c r="D193" s="419" t="s">
        <v>71</v>
      </c>
      <c r="E193" s="419">
        <v>0.95587543999999991</v>
      </c>
      <c r="F193" s="482">
        <f t="shared" si="10"/>
        <v>2.0348327651405446E-2</v>
      </c>
    </row>
    <row r="194" spans="1:6" x14ac:dyDescent="0.35">
      <c r="A194" s="46" t="s">
        <v>130</v>
      </c>
      <c r="B194" s="46">
        <v>3.8913000000000003E-3</v>
      </c>
      <c r="C194" s="149">
        <f t="shared" si="11"/>
        <v>7.8780209836543569E-5</v>
      </c>
      <c r="D194" s="46" t="s">
        <v>356</v>
      </c>
      <c r="E194" s="46">
        <v>0.89996769999999993</v>
      </c>
      <c r="F194" s="149">
        <f t="shared" si="10"/>
        <v>1.9158184078128172E-2</v>
      </c>
    </row>
    <row r="195" spans="1:6" x14ac:dyDescent="0.35">
      <c r="A195" s="419" t="s">
        <v>192</v>
      </c>
      <c r="B195" s="419">
        <v>3.6440000000000001E-3</v>
      </c>
      <c r="C195" s="482">
        <f t="shared" si="11"/>
        <v>7.3773567867901411E-5</v>
      </c>
      <c r="D195" s="419" t="s">
        <v>211</v>
      </c>
      <c r="E195" s="419">
        <v>0.82427673999999995</v>
      </c>
      <c r="F195" s="482">
        <f t="shared" si="10"/>
        <v>1.7546902534656961E-2</v>
      </c>
    </row>
    <row r="196" spans="1:6" x14ac:dyDescent="0.35">
      <c r="A196" s="46" t="s">
        <v>71</v>
      </c>
      <c r="B196" s="46">
        <v>3.2173000000000002E-3</v>
      </c>
      <c r="C196" s="149">
        <f t="shared" si="11"/>
        <v>6.5134934111251162E-5</v>
      </c>
      <c r="D196" s="46" t="s">
        <v>186</v>
      </c>
      <c r="E196" s="46">
        <v>0.81058417000000005</v>
      </c>
      <c r="F196" s="149">
        <f t="shared" si="10"/>
        <v>1.7255420099717738E-2</v>
      </c>
    </row>
    <row r="197" spans="1:6" x14ac:dyDescent="0.35">
      <c r="A197" s="419" t="s">
        <v>110</v>
      </c>
      <c r="B197" s="419">
        <v>3.0999999999999999E-3</v>
      </c>
      <c r="C197" s="482">
        <f t="shared" si="11"/>
        <v>6.2760170249861235E-5</v>
      </c>
      <c r="D197" s="419" t="s">
        <v>143</v>
      </c>
      <c r="E197" s="419">
        <v>0.79606844999999993</v>
      </c>
      <c r="F197" s="482">
        <f t="shared" si="10"/>
        <v>1.6946414747873922E-2</v>
      </c>
    </row>
    <row r="198" spans="1:6" x14ac:dyDescent="0.35">
      <c r="A198" s="46" t="s">
        <v>35</v>
      </c>
      <c r="B198" s="46">
        <v>3.0642800000000004E-3</v>
      </c>
      <c r="C198" s="149">
        <f t="shared" si="11"/>
        <v>6.2037011126853171E-5</v>
      </c>
      <c r="D198" s="46" t="s">
        <v>68</v>
      </c>
      <c r="E198" s="46">
        <v>0.79200389999999998</v>
      </c>
      <c r="F198" s="149">
        <f t="shared" si="10"/>
        <v>1.6859890090272594E-2</v>
      </c>
    </row>
    <row r="199" spans="1:6" x14ac:dyDescent="0.35">
      <c r="A199" s="419" t="s">
        <v>111</v>
      </c>
      <c r="B199" s="419">
        <v>3.0051500000000003E-3</v>
      </c>
      <c r="C199" s="482">
        <f t="shared" si="11"/>
        <v>6.0839911492377586E-5</v>
      </c>
      <c r="D199" s="419" t="s">
        <v>149</v>
      </c>
      <c r="E199" s="419">
        <v>0.75941204000000007</v>
      </c>
      <c r="F199" s="482">
        <f t="shared" si="10"/>
        <v>1.6166086464510714E-2</v>
      </c>
    </row>
    <row r="200" spans="1:6" x14ac:dyDescent="0.35">
      <c r="A200" s="46" t="s">
        <v>17</v>
      </c>
      <c r="B200" s="46">
        <v>2.3259999999999999E-3</v>
      </c>
      <c r="C200" s="149">
        <f t="shared" si="11"/>
        <v>4.7090372903605562E-5</v>
      </c>
      <c r="D200" s="46" t="s">
        <v>107</v>
      </c>
      <c r="E200" s="46">
        <v>0.75723353999999998</v>
      </c>
      <c r="F200" s="149">
        <f t="shared" si="10"/>
        <v>1.6119711351254756E-2</v>
      </c>
    </row>
    <row r="201" spans="1:6" x14ac:dyDescent="0.35">
      <c r="A201" s="419" t="s">
        <v>153</v>
      </c>
      <c r="B201" s="419">
        <v>1.7902700000000001E-3</v>
      </c>
      <c r="C201" s="482">
        <f t="shared" si="11"/>
        <v>3.6244403223619059E-5</v>
      </c>
      <c r="D201" s="419" t="s">
        <v>153</v>
      </c>
      <c r="E201" s="419">
        <v>0.72965734999999998</v>
      </c>
      <c r="F201" s="482">
        <f t="shared" si="10"/>
        <v>1.553267947867373E-2</v>
      </c>
    </row>
    <row r="202" spans="1:6" x14ac:dyDescent="0.35">
      <c r="A202" s="46" t="s">
        <v>124</v>
      </c>
      <c r="B202" s="46">
        <v>1.6003499999999999E-3</v>
      </c>
      <c r="C202" s="149">
        <f t="shared" si="11"/>
        <v>3.2399431761085624E-5</v>
      </c>
      <c r="D202" s="46" t="s">
        <v>73</v>
      </c>
      <c r="E202" s="46">
        <v>0.71365417000000009</v>
      </c>
      <c r="F202" s="149">
        <f t="shared" si="10"/>
        <v>1.5192009620993929E-2</v>
      </c>
    </row>
    <row r="203" spans="1:6" x14ac:dyDescent="0.35">
      <c r="A203" s="419" t="s">
        <v>205</v>
      </c>
      <c r="B203" s="419">
        <v>1.5182000000000001E-3</v>
      </c>
      <c r="C203" s="482">
        <f t="shared" si="11"/>
        <v>3.0736287249464305E-5</v>
      </c>
      <c r="D203" s="419" t="s">
        <v>69</v>
      </c>
      <c r="E203" s="419">
        <v>0.70811701000000005</v>
      </c>
      <c r="F203" s="482">
        <f t="shared" si="10"/>
        <v>1.5074136578939145E-2</v>
      </c>
    </row>
    <row r="204" spans="1:6" x14ac:dyDescent="0.35">
      <c r="A204" s="46" t="s">
        <v>109</v>
      </c>
      <c r="B204" s="46">
        <v>1.2800000000000001E-3</v>
      </c>
      <c r="C204" s="149">
        <f t="shared" si="11"/>
        <v>2.5913876748329804E-5</v>
      </c>
      <c r="D204" s="46" t="s">
        <v>205</v>
      </c>
      <c r="E204" s="46">
        <v>0.70168251999999998</v>
      </c>
      <c r="F204" s="149">
        <f t="shared" si="10"/>
        <v>1.4937161503201563E-2</v>
      </c>
    </row>
    <row r="205" spans="1:6" x14ac:dyDescent="0.35">
      <c r="A205" s="419" t="s">
        <v>141</v>
      </c>
      <c r="B205" s="419">
        <v>7.5000000000000002E-4</v>
      </c>
      <c r="C205" s="482">
        <f t="shared" si="11"/>
        <v>1.5183912157224495E-5</v>
      </c>
      <c r="D205" s="419" t="s">
        <v>354</v>
      </c>
      <c r="E205" s="419">
        <v>0.68774584999999999</v>
      </c>
      <c r="F205" s="482">
        <f t="shared" si="10"/>
        <v>1.4640482756513069E-2</v>
      </c>
    </row>
    <row r="206" spans="1:6" x14ac:dyDescent="0.35">
      <c r="A206" s="46" t="s">
        <v>56</v>
      </c>
      <c r="B206" s="46">
        <v>9.0000000000000006E-5</v>
      </c>
      <c r="C206" s="149">
        <f t="shared" si="11"/>
        <v>1.8220694588669393E-6</v>
      </c>
      <c r="D206" s="46" t="s">
        <v>14</v>
      </c>
      <c r="E206" s="46">
        <v>0.66652447999999997</v>
      </c>
      <c r="F206" s="149">
        <f t="shared" si="10"/>
        <v>1.4188729973774237E-2</v>
      </c>
    </row>
    <row r="207" spans="1:6" x14ac:dyDescent="0.35">
      <c r="A207" s="419" t="s">
        <v>201</v>
      </c>
      <c r="B207" s="419">
        <v>5.0000000000000002E-5</v>
      </c>
      <c r="C207" s="482">
        <f t="shared" si="11"/>
        <v>1.0122608104816331E-6</v>
      </c>
      <c r="D207" s="419" t="s">
        <v>43</v>
      </c>
      <c r="E207" s="419">
        <v>0.63978798000000003</v>
      </c>
      <c r="F207" s="482">
        <f t="shared" si="10"/>
        <v>1.3619573115583801E-2</v>
      </c>
    </row>
    <row r="208" spans="1:6" x14ac:dyDescent="0.35">
      <c r="A208" s="46" t="s">
        <v>203</v>
      </c>
      <c r="B208" s="46">
        <v>3.4999999999999997E-5</v>
      </c>
      <c r="C208" s="149">
        <f t="shared" si="11"/>
        <v>7.0858256733714299E-7</v>
      </c>
      <c r="D208" s="46" t="s">
        <v>91</v>
      </c>
      <c r="E208" s="46">
        <v>0.62521780000000005</v>
      </c>
      <c r="F208" s="149">
        <f t="shared" si="10"/>
        <v>1.3309408439127679E-2</v>
      </c>
    </row>
    <row r="209" spans="1:6" x14ac:dyDescent="0.35">
      <c r="A209" s="419"/>
      <c r="B209" s="419"/>
      <c r="C209" s="482"/>
      <c r="D209" s="419" t="s">
        <v>365</v>
      </c>
      <c r="E209" s="419">
        <v>0.60813899999999999</v>
      </c>
      <c r="F209" s="482">
        <f t="shared" si="10"/>
        <v>1.2945841175287501E-2</v>
      </c>
    </row>
    <row r="210" spans="1:6" x14ac:dyDescent="0.35">
      <c r="A210" s="21"/>
      <c r="B210" s="46"/>
      <c r="C210" s="149"/>
      <c r="D210" s="46" t="s">
        <v>13</v>
      </c>
      <c r="E210" s="46">
        <v>0.56061918000000011</v>
      </c>
      <c r="F210" s="149">
        <f t="shared" si="10"/>
        <v>1.1934256582952116E-2</v>
      </c>
    </row>
    <row r="211" spans="1:6" x14ac:dyDescent="0.35">
      <c r="A211" s="480"/>
      <c r="B211" s="419"/>
      <c r="C211" s="482"/>
      <c r="D211" s="419" t="s">
        <v>184</v>
      </c>
      <c r="E211" s="419">
        <v>0.46392791999999999</v>
      </c>
      <c r="F211" s="482">
        <f t="shared" si="10"/>
        <v>9.8759283142529682E-3</v>
      </c>
    </row>
    <row r="212" spans="1:6" x14ac:dyDescent="0.35">
      <c r="A212" s="21"/>
      <c r="B212" s="46"/>
      <c r="C212" s="149"/>
      <c r="D212" s="46" t="s">
        <v>372</v>
      </c>
      <c r="E212" s="46">
        <v>0.46334946000000005</v>
      </c>
      <c r="F212" s="149">
        <f t="shared" si="10"/>
        <v>9.8636142688024106E-3</v>
      </c>
    </row>
    <row r="213" spans="1:6" x14ac:dyDescent="0.35">
      <c r="A213" s="480"/>
      <c r="B213" s="419"/>
      <c r="C213" s="482"/>
      <c r="D213" s="419" t="s">
        <v>183</v>
      </c>
      <c r="E213" s="419">
        <v>0.36958055000000001</v>
      </c>
      <c r="F213" s="482">
        <f t="shared" si="10"/>
        <v>7.8674959207934402E-3</v>
      </c>
    </row>
    <row r="214" spans="1:6" x14ac:dyDescent="0.35">
      <c r="A214" s="21"/>
      <c r="B214" s="46"/>
      <c r="C214" s="149"/>
      <c r="D214" s="46" t="s">
        <v>44</v>
      </c>
      <c r="E214" s="46">
        <v>0.34485167</v>
      </c>
      <c r="F214" s="149">
        <f t="shared" si="10"/>
        <v>7.341076544758119E-3</v>
      </c>
    </row>
    <row r="215" spans="1:6" x14ac:dyDescent="0.35">
      <c r="A215" s="480"/>
      <c r="B215" s="419"/>
      <c r="C215" s="482"/>
      <c r="D215" s="419" t="s">
        <v>1</v>
      </c>
      <c r="E215" s="419">
        <v>0.31516304000000001</v>
      </c>
      <c r="F215" s="482">
        <f t="shared" ref="F215:F268" si="12">(E215/$E$269)*100</f>
        <v>6.7090758201016247E-3</v>
      </c>
    </row>
    <row r="216" spans="1:6" x14ac:dyDescent="0.35">
      <c r="A216" s="21"/>
      <c r="B216" s="46"/>
      <c r="C216" s="149"/>
      <c r="D216" s="46" t="s">
        <v>347</v>
      </c>
      <c r="E216" s="46">
        <v>0.30913739000000001</v>
      </c>
      <c r="F216" s="149">
        <f t="shared" si="12"/>
        <v>6.5808039811341007E-3</v>
      </c>
    </row>
    <row r="217" spans="1:6" x14ac:dyDescent="0.35">
      <c r="A217" s="480"/>
      <c r="B217" s="419"/>
      <c r="C217" s="482"/>
      <c r="D217" s="419" t="s">
        <v>348</v>
      </c>
      <c r="E217" s="419">
        <v>0.30685637999999998</v>
      </c>
      <c r="F217" s="482">
        <f t="shared" si="12"/>
        <v>6.5322466723950739E-3</v>
      </c>
    </row>
    <row r="218" spans="1:6" x14ac:dyDescent="0.35">
      <c r="A218" s="21"/>
      <c r="B218" s="46"/>
      <c r="C218" s="149"/>
      <c r="D218" s="46" t="s">
        <v>206</v>
      </c>
      <c r="E218" s="46">
        <v>0.28488563</v>
      </c>
      <c r="F218" s="149">
        <f t="shared" si="12"/>
        <v>6.0645413615994376E-3</v>
      </c>
    </row>
    <row r="219" spans="1:6" x14ac:dyDescent="0.35">
      <c r="A219" s="480"/>
      <c r="B219" s="419"/>
      <c r="C219" s="482"/>
      <c r="D219" s="419" t="s">
        <v>98</v>
      </c>
      <c r="E219" s="419">
        <v>0.27987086999999999</v>
      </c>
      <c r="F219" s="482">
        <f t="shared" si="12"/>
        <v>5.9577889801665992E-3</v>
      </c>
    </row>
    <row r="220" spans="1:6" x14ac:dyDescent="0.35">
      <c r="A220" s="21"/>
      <c r="B220" s="46"/>
      <c r="C220" s="149"/>
      <c r="D220" s="46" t="s">
        <v>185</v>
      </c>
      <c r="E220" s="46">
        <v>0.26761351</v>
      </c>
      <c r="F220" s="149">
        <f t="shared" si="12"/>
        <v>5.6968587721248163E-3</v>
      </c>
    </row>
    <row r="221" spans="1:6" x14ac:dyDescent="0.35">
      <c r="A221" s="480"/>
      <c r="B221" s="419"/>
      <c r="C221" s="482"/>
      <c r="D221" s="419" t="s">
        <v>70</v>
      </c>
      <c r="E221" s="419">
        <v>0.26286265999999997</v>
      </c>
      <c r="F221" s="482">
        <f t="shared" si="12"/>
        <v>5.5957244104943094E-3</v>
      </c>
    </row>
    <row r="222" spans="1:6" x14ac:dyDescent="0.35">
      <c r="A222" s="21"/>
      <c r="B222" s="46"/>
      <c r="C222" s="149"/>
      <c r="D222" s="46" t="s">
        <v>33</v>
      </c>
      <c r="E222" s="46">
        <v>0.22682576999999998</v>
      </c>
      <c r="F222" s="149">
        <f t="shared" si="12"/>
        <v>4.8285842428824541E-3</v>
      </c>
    </row>
    <row r="223" spans="1:6" x14ac:dyDescent="0.35">
      <c r="A223" s="480"/>
      <c r="B223" s="419"/>
      <c r="C223" s="482"/>
      <c r="D223" s="419" t="s">
        <v>169</v>
      </c>
      <c r="E223" s="419">
        <v>0.21817057000000001</v>
      </c>
      <c r="F223" s="482">
        <f t="shared" si="12"/>
        <v>4.6443355028076543E-3</v>
      </c>
    </row>
    <row r="224" spans="1:6" x14ac:dyDescent="0.35">
      <c r="A224" s="152"/>
      <c r="B224" s="141"/>
      <c r="C224" s="149"/>
      <c r="D224" s="46" t="s">
        <v>201</v>
      </c>
      <c r="E224" s="46">
        <v>0.21811025000000001</v>
      </c>
      <c r="F224" s="149">
        <f t="shared" si="12"/>
        <v>4.6430514326531456E-3</v>
      </c>
    </row>
    <row r="225" spans="1:6" x14ac:dyDescent="0.35">
      <c r="A225" s="488"/>
      <c r="B225" s="162"/>
      <c r="C225" s="482"/>
      <c r="D225" s="419" t="s">
        <v>378</v>
      </c>
      <c r="E225" s="419">
        <v>0.21737495000000001</v>
      </c>
      <c r="F225" s="482">
        <f t="shared" si="12"/>
        <v>4.6273986344997804E-3</v>
      </c>
    </row>
    <row r="226" spans="1:6" x14ac:dyDescent="0.35">
      <c r="A226" s="152"/>
      <c r="B226" s="141"/>
      <c r="C226" s="149"/>
      <c r="D226" s="46" t="s">
        <v>97</v>
      </c>
      <c r="E226" s="46">
        <v>0.20176585999999999</v>
      </c>
      <c r="F226" s="149">
        <f t="shared" si="12"/>
        <v>4.2951180209710171E-3</v>
      </c>
    </row>
    <row r="227" spans="1:6" x14ac:dyDescent="0.35">
      <c r="A227" s="488"/>
      <c r="B227" s="162"/>
      <c r="C227" s="482"/>
      <c r="D227" s="419" t="s">
        <v>368</v>
      </c>
      <c r="E227" s="419">
        <v>0.19692256</v>
      </c>
      <c r="F227" s="482">
        <f t="shared" si="12"/>
        <v>4.1920156174674273E-3</v>
      </c>
    </row>
    <row r="228" spans="1:6" x14ac:dyDescent="0.35">
      <c r="A228" s="152"/>
      <c r="B228" s="141"/>
      <c r="C228" s="149"/>
      <c r="D228" s="46" t="s">
        <v>55</v>
      </c>
      <c r="E228" s="46">
        <v>0.18629699999999999</v>
      </c>
      <c r="F228" s="149">
        <f t="shared" si="12"/>
        <v>3.9658225725245962E-3</v>
      </c>
    </row>
    <row r="229" spans="1:6" x14ac:dyDescent="0.35">
      <c r="A229" s="488"/>
      <c r="B229" s="162"/>
      <c r="C229" s="482"/>
      <c r="D229" s="419" t="s">
        <v>49</v>
      </c>
      <c r="E229" s="419">
        <v>0.18598000000000001</v>
      </c>
      <c r="F229" s="482">
        <f t="shared" si="12"/>
        <v>3.9590743921701609E-3</v>
      </c>
    </row>
    <row r="230" spans="1:6" x14ac:dyDescent="0.35">
      <c r="A230" s="152"/>
      <c r="B230" s="141"/>
      <c r="C230" s="149"/>
      <c r="D230" s="46" t="s">
        <v>379</v>
      </c>
      <c r="E230" s="46">
        <v>0.18172217000000002</v>
      </c>
      <c r="F230" s="149">
        <f t="shared" si="12"/>
        <v>3.8684352604397934E-3</v>
      </c>
    </row>
    <row r="231" spans="1:6" x14ac:dyDescent="0.35">
      <c r="A231" s="488"/>
      <c r="B231" s="162"/>
      <c r="C231" s="482"/>
      <c r="D231" s="419" t="s">
        <v>148</v>
      </c>
      <c r="E231" s="419">
        <v>0.18058164999999998</v>
      </c>
      <c r="F231" s="482">
        <f t="shared" si="12"/>
        <v>3.8441562867557516E-3</v>
      </c>
    </row>
    <row r="232" spans="1:6" x14ac:dyDescent="0.35">
      <c r="A232" s="152"/>
      <c r="B232" s="141"/>
      <c r="C232" s="149"/>
      <c r="D232" s="46" t="s">
        <v>41</v>
      </c>
      <c r="E232" s="46">
        <v>0.16778911999999999</v>
      </c>
      <c r="F232" s="149">
        <f t="shared" si="12"/>
        <v>3.571833574990677E-3</v>
      </c>
    </row>
    <row r="233" spans="1:6" x14ac:dyDescent="0.35">
      <c r="A233" s="488"/>
      <c r="B233" s="162"/>
      <c r="C233" s="482"/>
      <c r="D233" s="419" t="s">
        <v>108</v>
      </c>
      <c r="E233" s="419">
        <v>0.16586561999999999</v>
      </c>
      <c r="F233" s="482">
        <f t="shared" si="12"/>
        <v>3.5308868087075319E-3</v>
      </c>
    </row>
    <row r="234" spans="1:6" x14ac:dyDescent="0.35">
      <c r="A234" s="152"/>
      <c r="B234" s="141"/>
      <c r="C234" s="149"/>
      <c r="D234" s="46" t="s">
        <v>170</v>
      </c>
      <c r="E234" s="46">
        <v>0.16470551999999999</v>
      </c>
      <c r="F234" s="149">
        <f t="shared" si="12"/>
        <v>3.5061910231265207E-3</v>
      </c>
    </row>
    <row r="235" spans="1:6" x14ac:dyDescent="0.35">
      <c r="A235" s="488"/>
      <c r="B235" s="162"/>
      <c r="C235" s="482"/>
      <c r="D235" s="419" t="s">
        <v>60</v>
      </c>
      <c r="E235" s="419">
        <v>0.15539354</v>
      </c>
      <c r="F235" s="482">
        <f t="shared" si="12"/>
        <v>3.3079609900132792E-3</v>
      </c>
    </row>
    <row r="236" spans="1:6" x14ac:dyDescent="0.35">
      <c r="A236" s="152"/>
      <c r="B236" s="141"/>
      <c r="C236" s="149"/>
      <c r="D236" s="46" t="s">
        <v>35</v>
      </c>
      <c r="E236" s="46">
        <v>0.150675</v>
      </c>
      <c r="F236" s="149">
        <f t="shared" si="12"/>
        <v>3.20751443187568E-3</v>
      </c>
    </row>
    <row r="237" spans="1:6" x14ac:dyDescent="0.35">
      <c r="A237" s="488"/>
      <c r="B237" s="162"/>
      <c r="C237" s="482"/>
      <c r="D237" s="419" t="s">
        <v>37</v>
      </c>
      <c r="E237" s="419">
        <v>0.13998427999999999</v>
      </c>
      <c r="F237" s="482">
        <f t="shared" si="12"/>
        <v>2.9799342846240327E-3</v>
      </c>
    </row>
    <row r="238" spans="1:6" x14ac:dyDescent="0.35">
      <c r="A238" s="152"/>
      <c r="B238" s="141"/>
      <c r="C238" s="149"/>
      <c r="D238" s="46" t="s">
        <v>139</v>
      </c>
      <c r="E238" s="46">
        <v>0.135522</v>
      </c>
      <c r="F238" s="149">
        <f t="shared" si="12"/>
        <v>2.8849428958795816E-3</v>
      </c>
    </row>
    <row r="239" spans="1:6" x14ac:dyDescent="0.35">
      <c r="A239" s="488"/>
      <c r="B239" s="162"/>
      <c r="C239" s="482"/>
      <c r="D239" s="419" t="s">
        <v>9</v>
      </c>
      <c r="E239" s="419">
        <v>0.11808002000000001</v>
      </c>
      <c r="F239" s="482">
        <f t="shared" si="12"/>
        <v>2.5136443886920124E-3</v>
      </c>
    </row>
    <row r="240" spans="1:6" x14ac:dyDescent="0.35">
      <c r="A240" s="152"/>
      <c r="B240" s="141"/>
      <c r="C240" s="149"/>
      <c r="D240" s="46" t="s">
        <v>199</v>
      </c>
      <c r="E240" s="46">
        <v>0.11011172</v>
      </c>
      <c r="F240" s="149">
        <f t="shared" si="12"/>
        <v>2.3440181252275026E-3</v>
      </c>
    </row>
    <row r="241" spans="1:6" x14ac:dyDescent="0.35">
      <c r="A241" s="488"/>
      <c r="B241" s="162"/>
      <c r="C241" s="482"/>
      <c r="D241" s="419" t="s">
        <v>47</v>
      </c>
      <c r="E241" s="419">
        <v>9.8816310000000004E-2</v>
      </c>
      <c r="F241" s="482">
        <f t="shared" si="12"/>
        <v>2.1035655578543295E-3</v>
      </c>
    </row>
    <row r="242" spans="1:6" x14ac:dyDescent="0.35">
      <c r="A242" s="152"/>
      <c r="B242" s="141"/>
      <c r="C242" s="149"/>
      <c r="D242" s="46" t="s">
        <v>152</v>
      </c>
      <c r="E242" s="46">
        <v>9.8431879999999999E-2</v>
      </c>
      <c r="F242" s="149">
        <f t="shared" si="12"/>
        <v>2.0953819522592011E-3</v>
      </c>
    </row>
    <row r="243" spans="1:6" x14ac:dyDescent="0.35">
      <c r="A243" s="488"/>
      <c r="B243" s="162"/>
      <c r="C243" s="482"/>
      <c r="D243" s="419" t="s">
        <v>371</v>
      </c>
      <c r="E243" s="419">
        <v>8.2422750000000003E-2</v>
      </c>
      <c r="F243" s="482">
        <f t="shared" si="12"/>
        <v>1.7545854331500331E-3</v>
      </c>
    </row>
    <row r="244" spans="1:6" x14ac:dyDescent="0.35">
      <c r="A244" s="152"/>
      <c r="B244" s="141"/>
      <c r="C244" s="149"/>
      <c r="D244" s="46" t="s">
        <v>154</v>
      </c>
      <c r="E244" s="46">
        <v>7.6059020000000005E-2</v>
      </c>
      <c r="F244" s="149">
        <f t="shared" si="12"/>
        <v>1.619116670478321E-3</v>
      </c>
    </row>
    <row r="245" spans="1:6" x14ac:dyDescent="0.35">
      <c r="A245" s="488"/>
      <c r="B245" s="162"/>
      <c r="C245" s="482"/>
      <c r="D245" s="419" t="s">
        <v>56</v>
      </c>
      <c r="E245" s="419">
        <v>7.3871240000000005E-2</v>
      </c>
      <c r="F245" s="482">
        <f t="shared" si="12"/>
        <v>1.5725440079678251E-3</v>
      </c>
    </row>
    <row r="246" spans="1:6" x14ac:dyDescent="0.35">
      <c r="A246" s="152"/>
      <c r="B246" s="141"/>
      <c r="C246" s="149"/>
      <c r="D246" s="46" t="s">
        <v>78</v>
      </c>
      <c r="E246" s="46">
        <v>6.5783090000000002E-2</v>
      </c>
      <c r="F246" s="149">
        <f t="shared" si="12"/>
        <v>1.4003664214260942E-3</v>
      </c>
    </row>
    <row r="247" spans="1:6" x14ac:dyDescent="0.35">
      <c r="A247" s="488"/>
      <c r="B247" s="162"/>
      <c r="C247" s="482"/>
      <c r="D247" s="419" t="s">
        <v>61</v>
      </c>
      <c r="E247" s="419">
        <v>6.1950039999999998E-2</v>
      </c>
      <c r="F247" s="482">
        <f t="shared" si="12"/>
        <v>1.3187698513706697E-3</v>
      </c>
    </row>
    <row r="248" spans="1:6" x14ac:dyDescent="0.35">
      <c r="A248" s="152"/>
      <c r="B248" s="141"/>
      <c r="C248" s="149"/>
      <c r="D248" s="46" t="s">
        <v>203</v>
      </c>
      <c r="E248" s="46">
        <v>6.0263070000000002E-2</v>
      </c>
      <c r="F248" s="149">
        <f t="shared" si="12"/>
        <v>1.2828582494384228E-3</v>
      </c>
    </row>
    <row r="249" spans="1:6" x14ac:dyDescent="0.35">
      <c r="A249" s="488"/>
      <c r="B249" s="162"/>
      <c r="C249" s="482"/>
      <c r="D249" s="419" t="s">
        <v>3</v>
      </c>
      <c r="E249" s="419">
        <v>5.8340940000000001E-2</v>
      </c>
      <c r="F249" s="482">
        <f t="shared" si="12"/>
        <v>1.2419406472154847E-3</v>
      </c>
    </row>
    <row r="250" spans="1:6" x14ac:dyDescent="0.35">
      <c r="A250" s="152"/>
      <c r="B250" s="141"/>
      <c r="C250" s="149"/>
      <c r="D250" s="46" t="s">
        <v>130</v>
      </c>
      <c r="E250" s="46">
        <v>5.0175070000000002E-2</v>
      </c>
      <c r="F250" s="149">
        <f t="shared" si="12"/>
        <v>1.0681085856669818E-3</v>
      </c>
    </row>
    <row r="251" spans="1:6" x14ac:dyDescent="0.35">
      <c r="A251" s="488"/>
      <c r="B251" s="162"/>
      <c r="C251" s="482"/>
      <c r="D251" s="419" t="s">
        <v>46</v>
      </c>
      <c r="E251" s="419">
        <v>4.8611740000000001E-2</v>
      </c>
      <c r="F251" s="482">
        <f t="shared" si="12"/>
        <v>1.0348289869493165E-3</v>
      </c>
    </row>
    <row r="252" spans="1:6" x14ac:dyDescent="0.35">
      <c r="A252" s="152"/>
      <c r="B252" s="141"/>
      <c r="C252" s="149"/>
      <c r="D252" s="46" t="s">
        <v>57</v>
      </c>
      <c r="E252" s="46">
        <v>2.110213E-2</v>
      </c>
      <c r="F252" s="149">
        <f t="shared" si="12"/>
        <v>4.4921444511907579E-4</v>
      </c>
    </row>
    <row r="253" spans="1:6" x14ac:dyDescent="0.35">
      <c r="A253" s="488"/>
      <c r="B253" s="162"/>
      <c r="C253" s="482"/>
      <c r="D253" s="419" t="s">
        <v>363</v>
      </c>
      <c r="E253" s="419">
        <v>1.99848E-2</v>
      </c>
      <c r="F253" s="482">
        <f t="shared" si="12"/>
        <v>4.2542913169503298E-4</v>
      </c>
    </row>
    <row r="254" spans="1:6" x14ac:dyDescent="0.35">
      <c r="A254" s="152"/>
      <c r="B254" s="141"/>
      <c r="C254" s="149"/>
      <c r="D254" s="46" t="s">
        <v>77</v>
      </c>
      <c r="E254" s="46">
        <v>1.8832000000000002E-2</v>
      </c>
      <c r="F254" s="149">
        <f t="shared" si="12"/>
        <v>4.0088874585088974E-4</v>
      </c>
    </row>
    <row r="255" spans="1:6" x14ac:dyDescent="0.35">
      <c r="A255" s="488"/>
      <c r="B255" s="162"/>
      <c r="C255" s="482"/>
      <c r="D255" s="419" t="s">
        <v>216</v>
      </c>
      <c r="E255" s="419">
        <v>1.7807169999999997E-2</v>
      </c>
      <c r="F255" s="482">
        <f t="shared" si="12"/>
        <v>3.7907253868169007E-4</v>
      </c>
    </row>
    <row r="256" spans="1:6" x14ac:dyDescent="0.35">
      <c r="A256" s="152"/>
      <c r="B256" s="141"/>
      <c r="C256" s="149"/>
      <c r="D256" s="46" t="s">
        <v>7</v>
      </c>
      <c r="E256" s="46">
        <v>1.5201020000000001E-2</v>
      </c>
      <c r="F256" s="149">
        <f t="shared" si="12"/>
        <v>3.2359376823780226E-4</v>
      </c>
    </row>
    <row r="257" spans="1:6" x14ac:dyDescent="0.35">
      <c r="A257" s="488"/>
      <c r="B257" s="162"/>
      <c r="C257" s="482"/>
      <c r="D257" s="419" t="s">
        <v>376</v>
      </c>
      <c r="E257" s="419">
        <v>1.184723E-2</v>
      </c>
      <c r="F257" s="482">
        <f t="shared" si="12"/>
        <v>2.5219951022233627E-4</v>
      </c>
    </row>
    <row r="258" spans="1:6" x14ac:dyDescent="0.35">
      <c r="A258" s="152"/>
      <c r="B258" s="141"/>
      <c r="C258" s="149"/>
      <c r="D258" s="46" t="s">
        <v>364</v>
      </c>
      <c r="E258" s="46">
        <v>9.4182399999999996E-3</v>
      </c>
      <c r="F258" s="149">
        <f t="shared" si="12"/>
        <v>2.0049205722826483E-4</v>
      </c>
    </row>
    <row r="259" spans="1:6" x14ac:dyDescent="0.35">
      <c r="A259" s="488"/>
      <c r="B259" s="162"/>
      <c r="C259" s="482"/>
      <c r="D259" s="419" t="s">
        <v>399</v>
      </c>
      <c r="E259" s="419">
        <v>8.28746E-3</v>
      </c>
      <c r="F259" s="482">
        <f t="shared" si="12"/>
        <v>1.7642042511095021E-4</v>
      </c>
    </row>
    <row r="260" spans="1:6" x14ac:dyDescent="0.35">
      <c r="A260" s="152"/>
      <c r="B260" s="141"/>
      <c r="C260" s="149"/>
      <c r="D260" s="46" t="s">
        <v>374</v>
      </c>
      <c r="E260" s="46">
        <v>4.1999999999999997E-3</v>
      </c>
      <c r="F260" s="149">
        <f t="shared" si="12"/>
        <v>8.9408067787475403E-5</v>
      </c>
    </row>
    <row r="261" spans="1:6" x14ac:dyDescent="0.35">
      <c r="A261" s="488"/>
      <c r="B261" s="162"/>
      <c r="C261" s="482"/>
      <c r="D261" s="419" t="s">
        <v>34</v>
      </c>
      <c r="E261" s="419">
        <v>3.0782600000000002E-3</v>
      </c>
      <c r="F261" s="482">
        <f t="shared" si="12"/>
        <v>6.5528875892255738E-5</v>
      </c>
    </row>
    <row r="262" spans="1:6" x14ac:dyDescent="0.35">
      <c r="A262" s="152"/>
      <c r="B262" s="141"/>
      <c r="C262" s="149"/>
      <c r="D262" s="46" t="s">
        <v>367</v>
      </c>
      <c r="E262" s="46">
        <v>1.6801199999999998E-3</v>
      </c>
      <c r="F262" s="149">
        <f t="shared" si="12"/>
        <v>3.5765781631212656E-5</v>
      </c>
    </row>
    <row r="263" spans="1:6" x14ac:dyDescent="0.35">
      <c r="A263" s="488"/>
      <c r="B263" s="162"/>
      <c r="C263" s="482"/>
      <c r="D263" s="419" t="s">
        <v>42</v>
      </c>
      <c r="E263" s="419">
        <v>7.4508000000000007E-4</v>
      </c>
      <c r="F263" s="482">
        <f t="shared" si="12"/>
        <v>1.5860991225498139E-5</v>
      </c>
    </row>
    <row r="264" spans="1:6" x14ac:dyDescent="0.35">
      <c r="A264" s="152"/>
      <c r="B264" s="141"/>
      <c r="C264" s="149"/>
      <c r="D264" s="46" t="s">
        <v>51</v>
      </c>
      <c r="E264" s="46">
        <v>5.0681999999999995E-4</v>
      </c>
      <c r="F264" s="149">
        <f t="shared" si="12"/>
        <v>1.0788999265725781E-5</v>
      </c>
    </row>
    <row r="265" spans="1:6" x14ac:dyDescent="0.35">
      <c r="A265" s="488"/>
      <c r="B265" s="162"/>
      <c r="C265" s="482"/>
      <c r="D265" s="419" t="s">
        <v>366</v>
      </c>
      <c r="E265" s="419">
        <v>3.8745000000000001E-4</v>
      </c>
      <c r="F265" s="482">
        <f t="shared" si="12"/>
        <v>8.2478942533946069E-6</v>
      </c>
    </row>
    <row r="266" spans="1:6" x14ac:dyDescent="0.35">
      <c r="A266" s="46"/>
      <c r="B266" s="46"/>
      <c r="C266" s="149"/>
      <c r="D266" s="46" t="s">
        <v>373</v>
      </c>
      <c r="E266" s="46">
        <v>3.7550000000000002E-4</v>
      </c>
      <c r="F266" s="149">
        <f t="shared" si="12"/>
        <v>7.9935070129040521E-6</v>
      </c>
    </row>
    <row r="267" spans="1:6" x14ac:dyDescent="0.35">
      <c r="A267" s="419"/>
      <c r="B267" s="419"/>
      <c r="C267" s="482"/>
      <c r="D267" s="419" t="s">
        <v>401</v>
      </c>
      <c r="E267" s="419">
        <v>1.749E-4</v>
      </c>
      <c r="F267" s="482">
        <f t="shared" si="12"/>
        <v>3.7232073942927258E-6</v>
      </c>
    </row>
    <row r="268" spans="1:6" x14ac:dyDescent="0.35">
      <c r="A268" s="46"/>
      <c r="B268" s="46"/>
      <c r="C268" s="149"/>
      <c r="D268" s="46" t="s">
        <v>65</v>
      </c>
      <c r="E268" s="46">
        <v>8.9090000000000003E-5</v>
      </c>
      <c r="F268" s="149">
        <f t="shared" si="12"/>
        <v>1.8965154188538532E-6</v>
      </c>
    </row>
    <row r="269" spans="1:6" s="483" customFormat="1" x14ac:dyDescent="0.35">
      <c r="A269" s="485" t="s">
        <v>217</v>
      </c>
      <c r="B269" s="485">
        <f>SUM(B23:B268)</f>
        <v>4939.4384809000003</v>
      </c>
      <c r="C269" s="489">
        <f>SUM(C23:C268)</f>
        <v>99.999999999999943</v>
      </c>
      <c r="D269" s="485" t="s">
        <v>217</v>
      </c>
      <c r="E269" s="485">
        <f>SUM(E23:E268)</f>
        <v>4697.5626517099954</v>
      </c>
      <c r="F269" s="489">
        <f>SUM(F23:F268)</f>
        <v>100.0000000000002</v>
      </c>
    </row>
  </sheetData>
  <mergeCells count="3">
    <mergeCell ref="A1:J1"/>
    <mergeCell ref="A21:F21"/>
    <mergeCell ref="A2:F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K569"/>
  <sheetViews>
    <sheetView zoomScaleNormal="100" workbookViewId="0">
      <selection activeCell="G1" sqref="G1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4.1796875" style="20" customWidth="1"/>
    <col min="8" max="9" width="9.1796875" style="20" bestFit="1" customWidth="1"/>
    <col min="10" max="11" width="7.6328125" style="20" bestFit="1" customWidth="1"/>
    <col min="12" max="20" width="9.1796875" style="20" bestFit="1" customWidth="1"/>
    <col min="21" max="21" width="11" style="20" bestFit="1" customWidth="1"/>
    <col min="22" max="22" width="9.90625" style="20" customWidth="1"/>
    <col min="23" max="23" width="16.36328125" style="20" bestFit="1" customWidth="1"/>
    <col min="24" max="16384" width="8.7265625" style="20"/>
  </cols>
  <sheetData>
    <row r="1" spans="1:37" ht="14.5" customHeight="1" x14ac:dyDescent="0.3">
      <c r="A1" s="11" t="s">
        <v>702</v>
      </c>
      <c r="B1" s="11"/>
      <c r="C1" s="11"/>
      <c r="D1" s="11"/>
      <c r="W1" s="49"/>
    </row>
    <row r="3" spans="1:37" ht="14.5" customHeight="1" x14ac:dyDescent="0.3">
      <c r="A3" s="166"/>
      <c r="B3" s="166" t="s">
        <v>461</v>
      </c>
      <c r="C3" s="166"/>
      <c r="D3" s="166"/>
      <c r="E3" s="165"/>
      <c r="G3" s="647" t="s">
        <v>694</v>
      </c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</row>
    <row r="4" spans="1:37" ht="14.5" customHeight="1" x14ac:dyDescent="0.3">
      <c r="A4" s="164" t="s">
        <v>394</v>
      </c>
      <c r="B4" s="444" t="s">
        <v>460</v>
      </c>
      <c r="C4" s="164" t="s">
        <v>243</v>
      </c>
      <c r="D4" s="164" t="s">
        <v>219</v>
      </c>
      <c r="E4" s="164" t="s">
        <v>459</v>
      </c>
      <c r="G4" s="609" t="s">
        <v>420</v>
      </c>
      <c r="H4" s="636">
        <v>2025</v>
      </c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37"/>
      <c r="T4" s="425">
        <v>2026</v>
      </c>
      <c r="U4" s="345" t="s">
        <v>693</v>
      </c>
      <c r="X4" s="158"/>
      <c r="Y4" s="158"/>
      <c r="Z4" s="158"/>
      <c r="AA4" s="158"/>
      <c r="AB4" s="158"/>
      <c r="AC4" s="158"/>
      <c r="AD4" s="158"/>
    </row>
    <row r="5" spans="1:37" s="31" customFormat="1" ht="13" x14ac:dyDescent="0.3">
      <c r="A5" s="648">
        <v>2025</v>
      </c>
      <c r="B5" s="445" t="s">
        <v>221</v>
      </c>
      <c r="C5" s="163">
        <v>1733.45929905</v>
      </c>
      <c r="D5" s="163">
        <v>1503.70598745999</v>
      </c>
      <c r="E5" s="163">
        <f t="shared" ref="E5:E17" si="0">C5-D5</f>
        <v>229.75331159001007</v>
      </c>
      <c r="G5" s="610"/>
      <c r="H5" s="26" t="s">
        <v>221</v>
      </c>
      <c r="I5" s="26" t="s">
        <v>232</v>
      </c>
      <c r="J5" s="26" t="s">
        <v>231</v>
      </c>
      <c r="K5" s="26" t="s">
        <v>230</v>
      </c>
      <c r="L5" s="26" t="s">
        <v>652</v>
      </c>
      <c r="M5" s="26" t="s">
        <v>228</v>
      </c>
      <c r="N5" s="26" t="s">
        <v>227</v>
      </c>
      <c r="O5" s="26" t="s">
        <v>226</v>
      </c>
      <c r="P5" s="26" t="s">
        <v>225</v>
      </c>
      <c r="Q5" s="26" t="s">
        <v>224</v>
      </c>
      <c r="R5" s="26" t="s">
        <v>223</v>
      </c>
      <c r="S5" s="26" t="s">
        <v>222</v>
      </c>
      <c r="T5" s="26" t="s">
        <v>221</v>
      </c>
      <c r="U5" s="344" t="s">
        <v>458</v>
      </c>
    </row>
    <row r="6" spans="1:37" s="31" customFormat="1" ht="12.5" customHeight="1" x14ac:dyDescent="0.25">
      <c r="A6" s="649"/>
      <c r="B6" s="141" t="s">
        <v>222</v>
      </c>
      <c r="C6" s="141">
        <v>1608.3100656099998</v>
      </c>
      <c r="D6" s="141">
        <v>1487.6782857599999</v>
      </c>
      <c r="E6" s="141">
        <f t="shared" si="0"/>
        <v>120.63177984999993</v>
      </c>
      <c r="G6" s="378" t="s">
        <v>452</v>
      </c>
      <c r="H6" s="379">
        <v>1347.5830084900001</v>
      </c>
      <c r="I6" s="379">
        <v>1282.1117562300001</v>
      </c>
      <c r="J6" s="379">
        <v>1490.3349306</v>
      </c>
      <c r="K6" s="379">
        <v>1353.2292663399999</v>
      </c>
      <c r="L6" s="379">
        <v>1278.07662781</v>
      </c>
      <c r="M6" s="379">
        <v>1498.5284958699999</v>
      </c>
      <c r="N6" s="379">
        <v>1674.8412315999999</v>
      </c>
      <c r="O6" s="379">
        <v>1445.6829666800002</v>
      </c>
      <c r="P6" s="379">
        <v>1044.65771563</v>
      </c>
      <c r="Q6" s="379">
        <v>1199.2538478900001</v>
      </c>
      <c r="R6" s="379">
        <v>807.97325583000008</v>
      </c>
      <c r="S6" s="379">
        <v>940.42355705999989</v>
      </c>
      <c r="T6" s="379">
        <v>1462.0308513099999</v>
      </c>
      <c r="U6" s="153">
        <f>(Table41[[#This Row],[Column14]]/$T$24)*100</f>
        <v>64.090539340025614</v>
      </c>
      <c r="X6" s="157"/>
      <c r="Y6" s="157"/>
      <c r="Z6" s="157"/>
      <c r="AA6" s="157"/>
      <c r="AB6" s="157"/>
      <c r="AC6" s="157"/>
      <c r="AD6" s="157"/>
      <c r="AE6" s="157"/>
    </row>
    <row r="7" spans="1:37" s="31" customFormat="1" ht="12.5" customHeight="1" x14ac:dyDescent="0.25">
      <c r="A7" s="649"/>
      <c r="B7" s="162" t="s">
        <v>223</v>
      </c>
      <c r="C7" s="162">
        <v>1765.6799966199999</v>
      </c>
      <c r="D7" s="162">
        <v>1430.6964128029999</v>
      </c>
      <c r="E7" s="162">
        <f t="shared" si="0"/>
        <v>334.98358381699995</v>
      </c>
      <c r="G7" s="380" t="s">
        <v>446</v>
      </c>
      <c r="H7" s="381">
        <v>199.29167630000001</v>
      </c>
      <c r="I7" s="381">
        <v>40.628601369999998</v>
      </c>
      <c r="J7" s="381">
        <v>51.97169117</v>
      </c>
      <c r="K7" s="381">
        <v>44.320350840000003</v>
      </c>
      <c r="L7" s="381">
        <v>36.727194479999994</v>
      </c>
      <c r="M7" s="381">
        <v>25.306928379999999</v>
      </c>
      <c r="N7" s="381">
        <v>35.087458909999995</v>
      </c>
      <c r="O7" s="381">
        <v>19.482477969999998</v>
      </c>
      <c r="P7" s="381">
        <v>34.985250630000003</v>
      </c>
      <c r="Q7" s="381">
        <v>47.690162549999997</v>
      </c>
      <c r="R7" s="381">
        <v>463.09247098999998</v>
      </c>
      <c r="S7" s="381">
        <v>808.47910997000008</v>
      </c>
      <c r="T7" s="381">
        <v>534.53939773000002</v>
      </c>
      <c r="U7" s="153">
        <f>(Table41[[#This Row],[Column14]]/$T$24)*100</f>
        <v>23.432418179350794</v>
      </c>
      <c r="X7" s="157"/>
      <c r="Y7" s="157"/>
      <c r="Z7" s="157"/>
      <c r="AA7" s="157"/>
      <c r="AB7" s="157"/>
      <c r="AC7" s="157"/>
      <c r="AD7" s="157"/>
      <c r="AE7" s="157"/>
    </row>
    <row r="8" spans="1:37" s="33" customFormat="1" ht="12.5" customHeight="1" x14ac:dyDescent="0.25">
      <c r="A8" s="649"/>
      <c r="B8" s="141" t="s">
        <v>224</v>
      </c>
      <c r="C8" s="335">
        <v>1721.84115761</v>
      </c>
      <c r="D8" s="335">
        <v>1208.35200226999</v>
      </c>
      <c r="E8" s="335">
        <f t="shared" si="0"/>
        <v>513.48915534001003</v>
      </c>
      <c r="G8" s="380" t="s">
        <v>454</v>
      </c>
      <c r="H8" s="381">
        <v>97.633935739999998</v>
      </c>
      <c r="I8" s="381">
        <v>147.05188102000002</v>
      </c>
      <c r="J8" s="381">
        <v>111.04392959</v>
      </c>
      <c r="K8" s="381">
        <v>230.02950662000001</v>
      </c>
      <c r="L8" s="381">
        <v>222.59498265000002</v>
      </c>
      <c r="M8" s="381">
        <v>248.15000299000002</v>
      </c>
      <c r="N8" s="381">
        <v>357.77070886000001</v>
      </c>
      <c r="O8" s="381">
        <v>245.26666644999997</v>
      </c>
      <c r="P8" s="381">
        <v>212.59158884999999</v>
      </c>
      <c r="Q8" s="381">
        <v>289.07425128</v>
      </c>
      <c r="R8" s="381">
        <v>285.30668301999998</v>
      </c>
      <c r="S8" s="381">
        <v>268.94869898000002</v>
      </c>
      <c r="T8" s="381">
        <v>152.12721044999998</v>
      </c>
      <c r="U8" s="153">
        <f>(Table41[[#This Row],[Column14]]/$T$24)*100</f>
        <v>6.6687477608957559</v>
      </c>
      <c r="X8" s="157"/>
      <c r="Y8" s="157"/>
      <c r="Z8" s="157"/>
      <c r="AA8" s="157"/>
      <c r="AB8" s="157"/>
      <c r="AC8" s="157"/>
      <c r="AD8" s="157"/>
      <c r="AE8" s="157"/>
    </row>
    <row r="9" spans="1:37" s="33" customFormat="1" ht="12.5" customHeight="1" x14ac:dyDescent="0.25">
      <c r="A9" s="649"/>
      <c r="B9" s="162" t="s">
        <v>225</v>
      </c>
      <c r="C9" s="343">
        <v>1665.7749288800001</v>
      </c>
      <c r="D9" s="343">
        <v>1277.29794082998</v>
      </c>
      <c r="E9" s="343">
        <f t="shared" si="0"/>
        <v>388.47698805002005</v>
      </c>
      <c r="G9" s="380" t="s">
        <v>692</v>
      </c>
      <c r="H9" s="381">
        <v>36.37413875</v>
      </c>
      <c r="I9" s="381">
        <v>51.293316579999995</v>
      </c>
      <c r="J9" s="381">
        <v>48.849855740000002</v>
      </c>
      <c r="K9" s="381">
        <v>47.231950049999995</v>
      </c>
      <c r="L9" s="381">
        <v>42.026557920000002</v>
      </c>
      <c r="M9" s="381">
        <v>47.577775219999999</v>
      </c>
      <c r="N9" s="381">
        <v>47.596600909999999</v>
      </c>
      <c r="O9" s="381">
        <v>57.103788810000005</v>
      </c>
      <c r="P9" s="381">
        <v>31.315478559999999</v>
      </c>
      <c r="Q9" s="381">
        <v>46.54541047</v>
      </c>
      <c r="R9" s="381">
        <v>50.991246200000006</v>
      </c>
      <c r="S9" s="381">
        <v>43.112329960000004</v>
      </c>
      <c r="T9" s="381">
        <v>42.66716469</v>
      </c>
      <c r="U9" s="153">
        <f>(Table41[[#This Row],[Column14]]/$T$24)*100</f>
        <v>1.8703856998924417</v>
      </c>
      <c r="X9" s="157"/>
      <c r="Y9" s="157"/>
      <c r="Z9" s="157"/>
      <c r="AA9" s="157"/>
      <c r="AB9" s="157"/>
      <c r="AC9" s="157"/>
      <c r="AD9" s="157"/>
      <c r="AE9" s="157"/>
    </row>
    <row r="10" spans="1:37" s="33" customFormat="1" ht="12.5" customHeight="1" x14ac:dyDescent="0.25">
      <c r="A10" s="649"/>
      <c r="B10" s="141" t="s">
        <v>226</v>
      </c>
      <c r="C10" s="335">
        <v>1922.2980805999998</v>
      </c>
      <c r="D10" s="335">
        <v>1303.92031478998</v>
      </c>
      <c r="E10" s="335">
        <f t="shared" si="0"/>
        <v>618.37776581001981</v>
      </c>
      <c r="G10" s="382" t="s">
        <v>455</v>
      </c>
      <c r="H10" s="383">
        <v>12.272470910000001</v>
      </c>
      <c r="I10" s="383">
        <v>41.409460299999999</v>
      </c>
      <c r="J10" s="383">
        <v>10.09131131</v>
      </c>
      <c r="K10" s="383">
        <v>11.66042079</v>
      </c>
      <c r="L10" s="383">
        <v>12.24948343</v>
      </c>
      <c r="M10" s="383">
        <v>17.498423980000002</v>
      </c>
      <c r="N10" s="383">
        <v>32.277501659999999</v>
      </c>
      <c r="O10" s="383">
        <v>25.170252120000001</v>
      </c>
      <c r="P10" s="383">
        <v>15.735056699999999</v>
      </c>
      <c r="Q10" s="383">
        <v>27.987652870000002</v>
      </c>
      <c r="R10" s="383">
        <v>28.319245719999998</v>
      </c>
      <c r="S10" s="383">
        <v>28.027791079999997</v>
      </c>
      <c r="T10" s="383">
        <v>24.084132069999999</v>
      </c>
      <c r="U10" s="342">
        <f>(Table41[[#This Row],[Column14]]/$T$24)*100</f>
        <v>1.0557677442440094</v>
      </c>
      <c r="X10" s="157"/>
      <c r="Y10" s="157"/>
      <c r="Z10" s="157"/>
      <c r="AA10" s="157"/>
      <c r="AB10" s="157"/>
      <c r="AC10" s="157"/>
      <c r="AD10" s="157"/>
      <c r="AE10" s="157"/>
    </row>
    <row r="11" spans="1:37" ht="14.5" customHeight="1" x14ac:dyDescent="0.25">
      <c r="A11" s="649"/>
      <c r="B11" s="162" t="s">
        <v>227</v>
      </c>
      <c r="C11" s="162">
        <v>2247.0448950300001</v>
      </c>
      <c r="D11" s="162">
        <v>1454.6638963800001</v>
      </c>
      <c r="E11" s="162">
        <f t="shared" si="0"/>
        <v>792.38099865000004</v>
      </c>
      <c r="G11" s="380" t="s">
        <v>445</v>
      </c>
      <c r="H11" s="381">
        <v>19.689693850000001</v>
      </c>
      <c r="I11" s="381">
        <v>6.3198654699999999</v>
      </c>
      <c r="J11" s="381">
        <v>20.559936399999998</v>
      </c>
      <c r="K11" s="381">
        <v>5.3717062000000002</v>
      </c>
      <c r="L11" s="381">
        <v>28.13312294</v>
      </c>
      <c r="M11" s="381">
        <v>15.399115779999999</v>
      </c>
      <c r="N11" s="381">
        <v>20.524168960000001</v>
      </c>
      <c r="O11" s="381">
        <v>10.124521980000001</v>
      </c>
      <c r="P11" s="381">
        <v>16.580451889999999</v>
      </c>
      <c r="Q11" s="381">
        <v>54.856967479999994</v>
      </c>
      <c r="R11" s="381">
        <v>54.318633649999995</v>
      </c>
      <c r="S11" s="381">
        <v>27.931545399999997</v>
      </c>
      <c r="T11" s="381">
        <v>34.673256020000004</v>
      </c>
      <c r="U11" s="340">
        <f>(Table41[[#This Row],[Column14]]/$T$24)*100</f>
        <v>1.5199594981223845</v>
      </c>
      <c r="X11" s="157"/>
      <c r="Y11" s="157"/>
      <c r="Z11" s="157"/>
      <c r="AA11" s="157"/>
      <c r="AB11" s="157"/>
      <c r="AC11" s="157"/>
      <c r="AD11" s="157"/>
      <c r="AE11" s="157"/>
    </row>
    <row r="12" spans="1:37" ht="14.5" customHeight="1" x14ac:dyDescent="0.25">
      <c r="A12" s="649"/>
      <c r="B12" s="141" t="s">
        <v>228</v>
      </c>
      <c r="C12" s="141">
        <v>1886.96601807</v>
      </c>
      <c r="D12" s="141">
        <v>1397.9791793299898</v>
      </c>
      <c r="E12" s="141">
        <f t="shared" si="0"/>
        <v>488.98683874001017</v>
      </c>
      <c r="G12" s="380" t="s">
        <v>444</v>
      </c>
      <c r="H12" s="381">
        <v>0.27271265</v>
      </c>
      <c r="I12" s="381">
        <v>1.539366</v>
      </c>
      <c r="J12" s="381">
        <v>1.3344708300000001</v>
      </c>
      <c r="K12" s="381">
        <v>2.78114968</v>
      </c>
      <c r="L12" s="381">
        <v>15.537919550000002</v>
      </c>
      <c r="M12" s="381">
        <v>26.163858780000002</v>
      </c>
      <c r="N12" s="381">
        <v>44.707471920000003</v>
      </c>
      <c r="O12" s="381">
        <v>49.187676750000001</v>
      </c>
      <c r="P12" s="381">
        <v>30.947029329999999</v>
      </c>
      <c r="Q12" s="381">
        <v>40.945913670000003</v>
      </c>
      <c r="R12" s="381">
        <v>45.461673810000001</v>
      </c>
      <c r="S12" s="381">
        <v>17.664993389999999</v>
      </c>
      <c r="T12" s="381">
        <v>0.24177842000000002</v>
      </c>
      <c r="U12" s="153">
        <f>(Table41[[#This Row],[Column14]]/$T$24)*100</f>
        <v>1.0598756739431911E-2</v>
      </c>
      <c r="X12" s="157"/>
      <c r="Y12" s="157"/>
      <c r="Z12" s="157"/>
      <c r="AA12" s="157"/>
      <c r="AB12" s="157"/>
      <c r="AC12" s="157"/>
      <c r="AD12" s="157"/>
      <c r="AE12" s="157"/>
    </row>
    <row r="13" spans="1:37" ht="14.5" customHeight="1" x14ac:dyDescent="0.25">
      <c r="A13" s="649"/>
      <c r="B13" s="162" t="s">
        <v>652</v>
      </c>
      <c r="C13" s="162">
        <v>1406.9053950299999</v>
      </c>
      <c r="D13" s="162">
        <v>1335.22781465</v>
      </c>
      <c r="E13" s="162">
        <f t="shared" si="0"/>
        <v>71.677580379999881</v>
      </c>
      <c r="G13" s="380" t="s">
        <v>449</v>
      </c>
      <c r="H13" s="381">
        <v>11.625324839999999</v>
      </c>
      <c r="I13" s="381">
        <v>21.350871680000001</v>
      </c>
      <c r="J13" s="381">
        <v>17.275909559999999</v>
      </c>
      <c r="K13" s="381">
        <v>13.67720813</v>
      </c>
      <c r="L13" s="381">
        <v>8.2449044199999992</v>
      </c>
      <c r="M13" s="381">
        <v>15.38067012</v>
      </c>
      <c r="N13" s="381">
        <v>8.9067034899999999</v>
      </c>
      <c r="O13" s="381">
        <v>11.34450698</v>
      </c>
      <c r="P13" s="381">
        <v>10.521573829999999</v>
      </c>
      <c r="Q13" s="381">
        <v>12.167135480000001</v>
      </c>
      <c r="R13" s="381">
        <v>19.727223329999998</v>
      </c>
      <c r="S13" s="381">
        <v>13.9820946</v>
      </c>
      <c r="T13" s="381">
        <v>12.078186279999999</v>
      </c>
      <c r="U13" s="153">
        <f>(Table41[[#This Row],[Column14]]/$T$24)*100</f>
        <v>0.52946726277417155</v>
      </c>
      <c r="X13" s="157"/>
      <c r="Y13" s="157"/>
      <c r="Z13" s="157"/>
      <c r="AA13" s="157"/>
      <c r="AB13" s="157"/>
      <c r="AC13" s="157"/>
      <c r="AD13" s="157"/>
      <c r="AE13" s="157"/>
    </row>
    <row r="14" spans="1:37" ht="14.5" customHeight="1" x14ac:dyDescent="0.25">
      <c r="A14" s="649"/>
      <c r="B14" s="141" t="s">
        <v>230</v>
      </c>
      <c r="C14" s="141">
        <v>1737.0949610999999</v>
      </c>
      <c r="D14" s="141">
        <v>1648.07812795</v>
      </c>
      <c r="E14" s="141">
        <f t="shared" si="0"/>
        <v>89.016833149999911</v>
      </c>
      <c r="G14" s="380" t="s">
        <v>442</v>
      </c>
      <c r="H14" s="381">
        <v>5.4853235099999997</v>
      </c>
      <c r="I14" s="381">
        <v>9.3574512799999994</v>
      </c>
      <c r="J14" s="381">
        <v>4.1190215999999999</v>
      </c>
      <c r="K14" s="381">
        <v>8.6552807499999993</v>
      </c>
      <c r="L14" s="381">
        <v>17.343544789999999</v>
      </c>
      <c r="M14" s="381">
        <v>18.93812428</v>
      </c>
      <c r="N14" s="381">
        <v>10.872769439999999</v>
      </c>
      <c r="O14" s="381">
        <v>5.7190020800000001</v>
      </c>
      <c r="P14" s="381">
        <v>5.5546293200000001</v>
      </c>
      <c r="Q14" s="381">
        <v>8.3989901499999995</v>
      </c>
      <c r="R14" s="381">
        <v>6.88875803</v>
      </c>
      <c r="S14" s="381">
        <v>12.997821249999999</v>
      </c>
      <c r="T14" s="381">
        <v>11.309570369999999</v>
      </c>
      <c r="U14" s="153">
        <f>(Table41[[#This Row],[Column14]]/$T$24)*100</f>
        <v>0.49577371371322937</v>
      </c>
      <c r="X14" s="157"/>
      <c r="Y14" s="157"/>
      <c r="Z14" s="157"/>
      <c r="AA14" s="157"/>
      <c r="AB14" s="157"/>
      <c r="AC14" s="157"/>
      <c r="AD14" s="157"/>
      <c r="AE14" s="157"/>
    </row>
    <row r="15" spans="1:37" ht="14.5" customHeight="1" x14ac:dyDescent="0.25">
      <c r="A15" s="649"/>
      <c r="B15" s="162" t="s">
        <v>231</v>
      </c>
      <c r="C15" s="162">
        <v>1771.6153848399999</v>
      </c>
      <c r="D15" s="162">
        <v>1481.1683673599998</v>
      </c>
      <c r="E15" s="162">
        <f t="shared" si="0"/>
        <v>290.44701748000011</v>
      </c>
      <c r="G15" s="380" t="s">
        <v>453</v>
      </c>
      <c r="H15" s="381">
        <v>0.59589097000000002</v>
      </c>
      <c r="I15" s="381">
        <v>2.2748884700000001</v>
      </c>
      <c r="J15" s="381">
        <v>2.9174157000000003</v>
      </c>
      <c r="K15" s="381">
        <v>2.7485979199999999</v>
      </c>
      <c r="L15" s="381">
        <v>1.9969942199999999</v>
      </c>
      <c r="M15" s="381">
        <v>3.0315888100000001</v>
      </c>
      <c r="N15" s="381">
        <v>3.3559632400000003</v>
      </c>
      <c r="O15" s="381">
        <v>2.8093032599999996</v>
      </c>
      <c r="P15" s="381">
        <v>1.85822289</v>
      </c>
      <c r="Q15" s="381">
        <v>2.74584166</v>
      </c>
      <c r="R15" s="381">
        <v>4.8279562599999997</v>
      </c>
      <c r="S15" s="381">
        <v>4.1858864999999996</v>
      </c>
      <c r="T15" s="381">
        <v>3.6467639599999999</v>
      </c>
      <c r="U15" s="153">
        <f>(Table41[[#This Row],[Column14]]/$T$24)*100</f>
        <v>0.15986192687572118</v>
      </c>
      <c r="X15" s="157"/>
      <c r="Y15" s="157"/>
      <c r="Z15" s="157"/>
      <c r="AA15" s="157"/>
      <c r="AB15" s="157"/>
      <c r="AC15" s="157"/>
      <c r="AD15" s="157"/>
      <c r="AE15" s="157"/>
    </row>
    <row r="16" spans="1:37" ht="14.5" customHeight="1" x14ac:dyDescent="0.25">
      <c r="A16" s="650"/>
      <c r="B16" s="141" t="s">
        <v>232</v>
      </c>
      <c r="C16" s="141">
        <v>2168.5130218899999</v>
      </c>
      <c r="D16" s="141">
        <v>1299.7429125899798</v>
      </c>
      <c r="E16" s="141">
        <f t="shared" si="0"/>
        <v>868.77010930002007</v>
      </c>
      <c r="G16" s="380" t="s">
        <v>448</v>
      </c>
      <c r="H16" s="381">
        <v>0.87842388999999999</v>
      </c>
      <c r="I16" s="381">
        <v>0.83868003000000002</v>
      </c>
      <c r="J16" s="381">
        <v>2.3927003099999999</v>
      </c>
      <c r="K16" s="381">
        <v>0.67698789000000004</v>
      </c>
      <c r="L16" s="381">
        <v>1.08893174</v>
      </c>
      <c r="M16" s="381">
        <v>0.65734884999999998</v>
      </c>
      <c r="N16" s="381">
        <v>1.2164491100000001</v>
      </c>
      <c r="O16" s="381">
        <v>2.8327021700000001</v>
      </c>
      <c r="P16" s="381">
        <v>0.35206746</v>
      </c>
      <c r="Q16" s="381">
        <v>1.1065205</v>
      </c>
      <c r="R16" s="381">
        <v>0.64712593000000007</v>
      </c>
      <c r="S16" s="381">
        <v>1.3869782800000001</v>
      </c>
      <c r="T16" s="381">
        <v>0.46682244000000001</v>
      </c>
      <c r="U16" s="153">
        <f>(Table41[[#This Row],[Column14]]/$T$24)*100</f>
        <v>2.0463933390201028E-2</v>
      </c>
      <c r="X16" s="157"/>
      <c r="Y16" s="157"/>
      <c r="Z16" s="157"/>
      <c r="AA16" s="157"/>
      <c r="AB16" s="157"/>
      <c r="AC16" s="157"/>
      <c r="AD16" s="157"/>
      <c r="AE16" s="157"/>
    </row>
    <row r="17" spans="1:31" ht="14.5" customHeight="1" x14ac:dyDescent="0.25">
      <c r="A17" s="446">
        <v>2026</v>
      </c>
      <c r="B17" s="161" t="s">
        <v>221</v>
      </c>
      <c r="C17" s="161">
        <v>2281.1960491599998</v>
      </c>
      <c r="D17" s="161">
        <v>1127.09689481999</v>
      </c>
      <c r="E17" s="161">
        <f t="shared" si="0"/>
        <v>1154.0991543400098</v>
      </c>
      <c r="G17" s="380" t="s">
        <v>450</v>
      </c>
      <c r="H17" s="381">
        <v>0.21138857</v>
      </c>
      <c r="I17" s="381">
        <v>1.0888217099999999</v>
      </c>
      <c r="J17" s="381">
        <v>0.18652276999999998</v>
      </c>
      <c r="K17" s="381">
        <v>0.84132485999999995</v>
      </c>
      <c r="L17" s="381">
        <v>8.1542259999999991E-2</v>
      </c>
      <c r="M17" s="381">
        <v>2.0543462400000001</v>
      </c>
      <c r="N17" s="381">
        <v>1.1761206100000001</v>
      </c>
      <c r="O17" s="381">
        <v>8.7945694799999998</v>
      </c>
      <c r="P17" s="381">
        <v>0.85924739999999999</v>
      </c>
      <c r="Q17" s="381">
        <v>3.5522005499999998</v>
      </c>
      <c r="R17" s="381">
        <v>1.1018156699999999</v>
      </c>
      <c r="S17" s="381">
        <v>0.47291404999999997</v>
      </c>
      <c r="T17" s="381">
        <v>1.0423218000000001</v>
      </c>
      <c r="U17" s="153">
        <f>(Table41[[#This Row],[Column14]]/$T$24)*100</f>
        <v>4.5691899229082567E-2</v>
      </c>
      <c r="X17" s="157"/>
      <c r="Y17" s="157"/>
      <c r="Z17" s="157"/>
      <c r="AA17" s="157"/>
      <c r="AB17" s="157"/>
      <c r="AC17" s="157"/>
      <c r="AD17" s="157"/>
      <c r="AE17" s="157"/>
    </row>
    <row r="18" spans="1:31" ht="14.5" customHeight="1" x14ac:dyDescent="0.3">
      <c r="A18" s="339"/>
      <c r="B18" s="253" t="s">
        <v>430</v>
      </c>
      <c r="C18" s="160">
        <f>AVERAGE(C5:C17)</f>
        <v>1839.7460964223076</v>
      </c>
      <c r="D18" s="160">
        <f>AVERAGE(D5:D17)</f>
        <v>1381.2006259225309</v>
      </c>
      <c r="E18" s="159">
        <f>AVERAGE(E5:E17)</f>
        <v>458.54547049977685</v>
      </c>
      <c r="G18" s="380" t="s">
        <v>451</v>
      </c>
      <c r="H18" s="381">
        <v>0.62842930000000008</v>
      </c>
      <c r="I18" s="381">
        <v>1.0366524500000001</v>
      </c>
      <c r="J18" s="381">
        <v>0.39801544</v>
      </c>
      <c r="K18" s="381">
        <v>0.36774135999999996</v>
      </c>
      <c r="L18" s="381">
        <v>1.16365571</v>
      </c>
      <c r="M18" s="381">
        <v>3.4073981</v>
      </c>
      <c r="N18" s="381">
        <v>3.692418</v>
      </c>
      <c r="O18" s="381">
        <v>1.7709266299999999</v>
      </c>
      <c r="P18" s="381">
        <v>0.54038731000000007</v>
      </c>
      <c r="Q18" s="381">
        <v>1.40401548</v>
      </c>
      <c r="R18" s="381">
        <v>1.6591417500000001</v>
      </c>
      <c r="S18" s="381">
        <v>0.39946566999999999</v>
      </c>
      <c r="T18" s="381">
        <v>1.94594383</v>
      </c>
      <c r="U18" s="153">
        <f>(Table41[[#This Row],[Column14]]/$T$24)*100</f>
        <v>8.5303664747120284E-2</v>
      </c>
      <c r="X18" s="157"/>
      <c r="Y18" s="157"/>
      <c r="Z18" s="157"/>
      <c r="AA18" s="157"/>
      <c r="AB18" s="157"/>
      <c r="AC18" s="157"/>
      <c r="AD18" s="157"/>
      <c r="AE18" s="157"/>
    </row>
    <row r="19" spans="1:31" ht="14.5" customHeight="1" x14ac:dyDescent="0.25">
      <c r="G19" s="380" t="s">
        <v>443</v>
      </c>
      <c r="H19" s="381">
        <v>0.30168429999999996</v>
      </c>
      <c r="I19" s="381">
        <v>0.47483280999999999</v>
      </c>
      <c r="J19" s="381">
        <v>0.41404296999999995</v>
      </c>
      <c r="K19" s="381">
        <v>6.486082E-2</v>
      </c>
      <c r="L19" s="381">
        <v>4.5579000000000001E-2</v>
      </c>
      <c r="M19" s="381">
        <v>2.7323400000000001E-2</v>
      </c>
      <c r="N19" s="381">
        <v>0.97784165000000001</v>
      </c>
      <c r="O19" s="381">
        <v>0.83059700000000003</v>
      </c>
      <c r="P19" s="381">
        <v>0.21916574999999999</v>
      </c>
      <c r="Q19" s="381">
        <v>1.10787608</v>
      </c>
      <c r="R19" s="381">
        <v>0.42162134999999995</v>
      </c>
      <c r="S19" s="381">
        <v>0.27702496000000004</v>
      </c>
      <c r="T19" s="381">
        <v>4.2533730000000006E-2</v>
      </c>
      <c r="U19" s="153">
        <f>(Table41[[#This Row],[Column14]]/$T$24)*100</f>
        <v>1.8645363696672237E-3</v>
      </c>
      <c r="X19" s="157"/>
      <c r="Y19" s="157"/>
      <c r="Z19" s="157"/>
      <c r="AA19" s="157"/>
      <c r="AB19" s="157"/>
      <c r="AC19" s="157"/>
      <c r="AD19" s="157"/>
      <c r="AE19" s="157"/>
    </row>
    <row r="20" spans="1:31" ht="14.5" customHeight="1" x14ac:dyDescent="0.25">
      <c r="C20" s="18"/>
      <c r="D20" s="18"/>
      <c r="E20" s="34"/>
      <c r="G20" s="380" t="s">
        <v>457</v>
      </c>
      <c r="H20" s="381">
        <v>0.38841900000000001</v>
      </c>
      <c r="I20" s="381">
        <v>1.1751741200000001</v>
      </c>
      <c r="J20" s="381">
        <v>1.17076666</v>
      </c>
      <c r="K20" s="381">
        <v>4.8122E-3</v>
      </c>
      <c r="L20" s="381">
        <v>1.1967749999999999E-2</v>
      </c>
      <c r="M20" s="381">
        <v>1.94E-4</v>
      </c>
      <c r="N20" s="381">
        <v>4.651E-5</v>
      </c>
      <c r="O20" s="381">
        <v>5.0557999999999999E-2</v>
      </c>
      <c r="P20" s="381">
        <v>1.06E-4</v>
      </c>
      <c r="Q20" s="381">
        <v>3.209004E-2</v>
      </c>
      <c r="R20" s="381">
        <v>3.5757120000000003E-2</v>
      </c>
      <c r="S20" s="381">
        <v>0.15429881000000001</v>
      </c>
      <c r="T20" s="381">
        <v>0.22576228000000001</v>
      </c>
      <c r="U20" s="153">
        <f>(Table41[[#This Row],[Column14]]/$T$24)*100</f>
        <v>9.8966627652687707E-3</v>
      </c>
      <c r="X20" s="157"/>
      <c r="Y20" s="157"/>
      <c r="Z20" s="157"/>
      <c r="AA20" s="157"/>
      <c r="AB20" s="157"/>
      <c r="AC20" s="157"/>
      <c r="AD20" s="157"/>
      <c r="AE20" s="157"/>
    </row>
    <row r="21" spans="1:31" ht="14.5" customHeight="1" x14ac:dyDescent="0.25">
      <c r="C21" s="18"/>
      <c r="D21" s="18"/>
      <c r="E21" s="34"/>
      <c r="G21" s="380" t="s">
        <v>456</v>
      </c>
      <c r="H21" s="381">
        <v>7.8538399999999994E-2</v>
      </c>
      <c r="I21" s="381">
        <v>0.31728903000000003</v>
      </c>
      <c r="J21" s="381">
        <v>2.6129346200000003</v>
      </c>
      <c r="K21" s="381">
        <v>0.10448958999999999</v>
      </c>
      <c r="L21" s="381">
        <v>0.33728390000000003</v>
      </c>
      <c r="M21" s="381">
        <v>7.0148880000000011E-2</v>
      </c>
      <c r="N21" s="381">
        <v>3.9928017400000004</v>
      </c>
      <c r="O21" s="381">
        <v>0.77296681999999994</v>
      </c>
      <c r="P21" s="381">
        <v>0.13946633</v>
      </c>
      <c r="Q21" s="381">
        <v>0.10048111</v>
      </c>
      <c r="R21" s="381">
        <v>0.43865160999999997</v>
      </c>
      <c r="S21" s="381">
        <v>5.4975870000000003E-2</v>
      </c>
      <c r="T21" s="381">
        <v>5.6995379999999998E-2</v>
      </c>
      <c r="U21" s="153">
        <f>(Table41[[#This Row],[Column14]]/$T$24)*100</f>
        <v>2.4984867048576239E-3</v>
      </c>
      <c r="X21" s="157"/>
      <c r="Y21" s="157"/>
      <c r="Z21" s="157"/>
      <c r="AA21" s="157"/>
      <c r="AB21" s="157"/>
      <c r="AC21" s="157"/>
      <c r="AD21" s="157"/>
      <c r="AE21" s="157"/>
    </row>
    <row r="22" spans="1:31" ht="14.5" customHeight="1" x14ac:dyDescent="0.25">
      <c r="A22" s="18"/>
      <c r="B22" s="18"/>
      <c r="C22" s="18"/>
      <c r="D22" s="18"/>
      <c r="E22" s="34"/>
      <c r="G22" s="380" t="s">
        <v>447</v>
      </c>
      <c r="H22" s="381">
        <v>6.3738160000000002E-2</v>
      </c>
      <c r="I22" s="381">
        <v>4.0817289999999999E-2</v>
      </c>
      <c r="J22" s="381">
        <v>6.5413500000000005E-3</v>
      </c>
      <c r="K22" s="381">
        <v>6.6812289999999996E-2</v>
      </c>
      <c r="L22" s="381">
        <v>0.10416729</v>
      </c>
      <c r="M22" s="381">
        <v>8.0508049999999998E-2</v>
      </c>
      <c r="N22" s="381">
        <v>5.9106499999999999E-3</v>
      </c>
      <c r="O22" s="381">
        <v>2.2534889999999998E-2</v>
      </c>
      <c r="P22" s="381">
        <v>4.7957150000000004E-2</v>
      </c>
      <c r="Q22" s="381">
        <v>0.10910383999999999</v>
      </c>
      <c r="R22" s="381">
        <v>0.40390457000000002</v>
      </c>
      <c r="S22" s="381">
        <v>1.048956E-2</v>
      </c>
      <c r="T22" s="381">
        <v>1.687015E-2</v>
      </c>
      <c r="U22" s="153">
        <f>(Table41[[#This Row],[Column14]]/$T$24)*100</f>
        <v>7.3953091432943949E-4</v>
      </c>
      <c r="X22" s="157"/>
      <c r="Y22" s="157"/>
      <c r="Z22" s="157"/>
      <c r="AA22" s="157"/>
      <c r="AB22" s="157"/>
      <c r="AC22" s="157"/>
      <c r="AD22" s="157"/>
      <c r="AE22" s="157"/>
    </row>
    <row r="23" spans="1:31" ht="14.5" customHeight="1" x14ac:dyDescent="0.25">
      <c r="A23" s="18"/>
      <c r="B23" s="18"/>
      <c r="C23" s="18"/>
      <c r="D23" s="18"/>
      <c r="E23" s="34"/>
      <c r="G23" s="382" t="s">
        <v>441</v>
      </c>
      <c r="H23" s="383">
        <v>8.4501419999999994E-2</v>
      </c>
      <c r="I23" s="383">
        <v>3.3976999999999998E-4</v>
      </c>
      <c r="J23" s="383">
        <v>0</v>
      </c>
      <c r="K23" s="383">
        <v>8.6912800000000009E-3</v>
      </c>
      <c r="L23" s="383">
        <v>1.0469020000000001E-2</v>
      </c>
      <c r="M23" s="383">
        <v>2.582887E-2</v>
      </c>
      <c r="N23" s="383">
        <v>4.2727769999999998E-2</v>
      </c>
      <c r="O23" s="383">
        <v>0</v>
      </c>
      <c r="P23" s="383">
        <v>0</v>
      </c>
      <c r="Q23" s="383">
        <v>1.6500000000000001E-2</v>
      </c>
      <c r="R23" s="383">
        <v>2.2000000000000001E-4</v>
      </c>
      <c r="S23" s="383">
        <v>3.0465000000000002E-3</v>
      </c>
      <c r="T23" s="383">
        <v>4.8825000000000002E-4</v>
      </c>
      <c r="U23" s="153">
        <f>(Table41[[#This Row],[Column14]]/$T$24)*100</f>
        <v>2.1403245906014401E-5</v>
      </c>
      <c r="X23" s="157"/>
      <c r="Y23" s="157"/>
      <c r="Z23" s="157"/>
      <c r="AA23" s="157"/>
      <c r="AB23" s="157"/>
      <c r="AC23" s="157"/>
      <c r="AD23" s="157"/>
      <c r="AE23" s="157"/>
    </row>
    <row r="24" spans="1:31" ht="14.5" customHeight="1" x14ac:dyDescent="0.3">
      <c r="A24" s="18"/>
      <c r="B24" s="18"/>
      <c r="C24" s="18"/>
      <c r="D24" s="18"/>
      <c r="E24" s="34"/>
      <c r="G24" s="307" t="s">
        <v>217</v>
      </c>
      <c r="H24" s="300">
        <f t="shared" ref="H24:U24" si="1">SUM(H6:H23)</f>
        <v>1733.4592990500003</v>
      </c>
      <c r="I24" s="300">
        <f t="shared" si="1"/>
        <v>1608.3100656100003</v>
      </c>
      <c r="J24" s="300">
        <f t="shared" si="1"/>
        <v>1765.6799966200003</v>
      </c>
      <c r="K24" s="300">
        <f t="shared" si="1"/>
        <v>1721.8411576099998</v>
      </c>
      <c r="L24" s="300">
        <f t="shared" si="1"/>
        <v>1665.7749288800003</v>
      </c>
      <c r="M24" s="300">
        <f t="shared" si="1"/>
        <v>1922.2980806</v>
      </c>
      <c r="N24" s="300">
        <f t="shared" si="1"/>
        <v>2247.0448950299997</v>
      </c>
      <c r="O24" s="300">
        <f t="shared" si="1"/>
        <v>1886.9660180700002</v>
      </c>
      <c r="P24" s="300">
        <f t="shared" si="1"/>
        <v>1406.9053950300001</v>
      </c>
      <c r="Q24" s="300">
        <f t="shared" si="1"/>
        <v>1737.0949610999999</v>
      </c>
      <c r="R24" s="300">
        <f t="shared" si="1"/>
        <v>1771.6153848399997</v>
      </c>
      <c r="S24" s="300">
        <f t="shared" si="1"/>
        <v>2168.5130218899999</v>
      </c>
      <c r="T24" s="300">
        <f t="shared" si="1"/>
        <v>2281.1960491600003</v>
      </c>
      <c r="U24" s="336">
        <f t="shared" si="1"/>
        <v>99.999999999999986</v>
      </c>
    </row>
    <row r="25" spans="1:31" ht="14.5" customHeight="1" x14ac:dyDescent="0.25">
      <c r="A25" s="18"/>
      <c r="B25" s="18"/>
      <c r="C25" s="18"/>
      <c r="D25" s="18"/>
      <c r="E25" s="34"/>
    </row>
    <row r="26" spans="1:31" ht="14.5" customHeight="1" x14ac:dyDescent="0.3">
      <c r="A26" s="18"/>
      <c r="B26" s="18"/>
      <c r="C26" s="18"/>
      <c r="D26" s="18"/>
      <c r="E26" s="34"/>
      <c r="G26" s="647" t="s">
        <v>695</v>
      </c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7"/>
      <c r="U26" s="647"/>
    </row>
    <row r="27" spans="1:31" ht="14.5" customHeight="1" x14ac:dyDescent="0.3">
      <c r="A27" s="18"/>
      <c r="B27" s="18"/>
      <c r="C27" s="18"/>
      <c r="D27" s="18"/>
      <c r="E27" s="34"/>
      <c r="G27" s="609" t="s">
        <v>420</v>
      </c>
      <c r="H27" s="636">
        <v>2025</v>
      </c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37"/>
      <c r="T27" s="425">
        <v>2026</v>
      </c>
      <c r="U27" s="345" t="s">
        <v>693</v>
      </c>
    </row>
    <row r="28" spans="1:31" s="11" customFormat="1" ht="13" x14ac:dyDescent="0.3">
      <c r="A28" s="18"/>
      <c r="B28" s="18"/>
      <c r="C28" s="18"/>
      <c r="D28" s="18"/>
      <c r="E28" s="34"/>
      <c r="G28" s="610"/>
      <c r="H28" s="26" t="s">
        <v>221</v>
      </c>
      <c r="I28" s="26" t="s">
        <v>232</v>
      </c>
      <c r="J28" s="26" t="s">
        <v>231</v>
      </c>
      <c r="K28" s="26" t="s">
        <v>230</v>
      </c>
      <c r="L28" s="26" t="s">
        <v>652</v>
      </c>
      <c r="M28" s="26" t="s">
        <v>228</v>
      </c>
      <c r="N28" s="26" t="s">
        <v>227</v>
      </c>
      <c r="O28" s="26" t="s">
        <v>226</v>
      </c>
      <c r="P28" s="26" t="s">
        <v>225</v>
      </c>
      <c r="Q28" s="26" t="s">
        <v>224</v>
      </c>
      <c r="R28" s="26" t="s">
        <v>223</v>
      </c>
      <c r="S28" s="26" t="s">
        <v>222</v>
      </c>
      <c r="T28" s="26" t="s">
        <v>221</v>
      </c>
      <c r="U28" s="344" t="s">
        <v>458</v>
      </c>
    </row>
    <row r="29" spans="1:31" ht="12.5" x14ac:dyDescent="0.25">
      <c r="A29" s="18"/>
      <c r="B29" s="18"/>
      <c r="C29" s="18"/>
      <c r="D29" s="18"/>
      <c r="E29" s="34"/>
      <c r="G29" s="447" t="s">
        <v>456</v>
      </c>
      <c r="H29" s="403">
        <v>191.48503453999999</v>
      </c>
      <c r="I29" s="403">
        <v>227.14521134999998</v>
      </c>
      <c r="J29" s="403">
        <v>160.19568812</v>
      </c>
      <c r="K29" s="403">
        <v>95.575929770000101</v>
      </c>
      <c r="L29" s="403">
        <v>196.97136569999998</v>
      </c>
      <c r="M29" s="403">
        <v>208.16977058000001</v>
      </c>
      <c r="N29" s="403">
        <v>282.53517061000002</v>
      </c>
      <c r="O29" s="403">
        <v>220.16472005</v>
      </c>
      <c r="P29" s="403">
        <v>157.48166743000002</v>
      </c>
      <c r="Q29" s="403">
        <v>195.01629516</v>
      </c>
      <c r="R29" s="403">
        <v>204.53105503</v>
      </c>
      <c r="S29" s="403">
        <v>153.45203634000001</v>
      </c>
      <c r="T29" s="403">
        <v>151.55830912000002</v>
      </c>
      <c r="U29" s="448">
        <f t="shared" ref="U29:U46" si="2">(T29/$T$47)*100</f>
        <v>13.446786147361742</v>
      </c>
      <c r="X29" s="18"/>
      <c r="Y29" s="18"/>
      <c r="Z29" s="18"/>
      <c r="AA29" s="18"/>
      <c r="AB29" s="18"/>
      <c r="AC29" s="18"/>
      <c r="AD29" s="18"/>
      <c r="AE29" s="18"/>
    </row>
    <row r="30" spans="1:31" ht="12.5" x14ac:dyDescent="0.25">
      <c r="A30" s="18"/>
      <c r="B30" s="18"/>
      <c r="C30" s="18"/>
      <c r="D30" s="18"/>
      <c r="E30" s="34"/>
      <c r="G30" s="380" t="s">
        <v>457</v>
      </c>
      <c r="H30" s="381">
        <v>407.60065967000003</v>
      </c>
      <c r="I30" s="381">
        <v>333.12557143999999</v>
      </c>
      <c r="J30" s="381">
        <v>311.96039274999998</v>
      </c>
      <c r="K30" s="381">
        <v>229.81903697999999</v>
      </c>
      <c r="L30" s="381">
        <v>85.853713519999999</v>
      </c>
      <c r="M30" s="381">
        <v>188.77191453999998</v>
      </c>
      <c r="N30" s="381">
        <v>124.30129982</v>
      </c>
      <c r="O30" s="381">
        <v>150.55732953</v>
      </c>
      <c r="P30" s="381">
        <v>432.72646233</v>
      </c>
      <c r="Q30" s="381">
        <v>282.13343764000001</v>
      </c>
      <c r="R30" s="381">
        <v>130.0224681</v>
      </c>
      <c r="S30" s="381">
        <v>194.84497503</v>
      </c>
      <c r="T30" s="381">
        <v>124.43822862</v>
      </c>
      <c r="U30" s="449">
        <f t="shared" si="2"/>
        <v>11.040597236307102</v>
      </c>
      <c r="X30" s="18"/>
      <c r="Y30" s="18"/>
      <c r="Z30" s="18"/>
      <c r="AA30" s="18"/>
      <c r="AB30" s="18"/>
      <c r="AC30" s="18"/>
      <c r="AD30" s="18"/>
      <c r="AE30" s="18"/>
    </row>
    <row r="31" spans="1:31" s="31" customFormat="1" ht="12.5" x14ac:dyDescent="0.25">
      <c r="A31" s="18"/>
      <c r="B31" s="18"/>
      <c r="C31" s="18"/>
      <c r="D31" s="18"/>
      <c r="E31" s="34"/>
      <c r="G31" s="450" t="s">
        <v>453</v>
      </c>
      <c r="H31" s="404">
        <v>94.34252323000041</v>
      </c>
      <c r="I31" s="404">
        <v>106.19278759999999</v>
      </c>
      <c r="J31" s="404">
        <v>123.38013814</v>
      </c>
      <c r="K31" s="404">
        <v>101.66038090000001</v>
      </c>
      <c r="L31" s="404">
        <v>107.97771751000001</v>
      </c>
      <c r="M31" s="404">
        <v>106.70739116</v>
      </c>
      <c r="N31" s="404">
        <v>122.26963692</v>
      </c>
      <c r="O31" s="404">
        <v>125.2743148</v>
      </c>
      <c r="P31" s="404">
        <v>76.719059260000009</v>
      </c>
      <c r="Q31" s="404">
        <v>137.66633608000001</v>
      </c>
      <c r="R31" s="404">
        <v>141.91797500000001</v>
      </c>
      <c r="S31" s="404">
        <v>126.15021444</v>
      </c>
      <c r="T31" s="404">
        <v>102.81776519</v>
      </c>
      <c r="U31" s="451">
        <f t="shared" si="2"/>
        <v>9.122353691376313</v>
      </c>
      <c r="X31" s="18"/>
      <c r="Y31" s="18"/>
      <c r="Z31" s="18"/>
      <c r="AA31" s="18"/>
      <c r="AB31" s="18"/>
      <c r="AC31" s="18"/>
      <c r="AD31" s="18"/>
      <c r="AE31" s="18"/>
    </row>
    <row r="32" spans="1:31" s="31" customFormat="1" ht="12.5" x14ac:dyDescent="0.25">
      <c r="A32" s="18"/>
      <c r="B32" s="18"/>
      <c r="C32" s="18"/>
      <c r="D32" s="18"/>
      <c r="E32" s="338"/>
      <c r="G32" s="380" t="s">
        <v>451</v>
      </c>
      <c r="H32" s="381">
        <v>79.87258131999991</v>
      </c>
      <c r="I32" s="381">
        <v>82.556179529999994</v>
      </c>
      <c r="J32" s="381">
        <v>78.538797683000098</v>
      </c>
      <c r="K32" s="381">
        <v>86.609605950000102</v>
      </c>
      <c r="L32" s="381">
        <v>105.21420439000001</v>
      </c>
      <c r="M32" s="381">
        <v>87.146322740000286</v>
      </c>
      <c r="N32" s="381">
        <v>99.929602730000497</v>
      </c>
      <c r="O32" s="381">
        <v>102.10857159</v>
      </c>
      <c r="P32" s="381">
        <v>66.195474329999797</v>
      </c>
      <c r="Q32" s="381">
        <v>128.09874184999998</v>
      </c>
      <c r="R32" s="381">
        <v>127.16535888</v>
      </c>
      <c r="S32" s="381">
        <v>89.737834379999995</v>
      </c>
      <c r="T32" s="381">
        <v>88.045032089999594</v>
      </c>
      <c r="U32" s="449">
        <f t="shared" si="2"/>
        <v>7.811664861703008</v>
      </c>
      <c r="X32" s="18"/>
      <c r="Y32" s="18"/>
      <c r="Z32" s="18"/>
      <c r="AA32" s="18"/>
      <c r="AB32" s="18"/>
      <c r="AC32" s="18"/>
      <c r="AD32" s="18"/>
      <c r="AE32" s="18"/>
    </row>
    <row r="33" spans="1:31" s="31" customFormat="1" ht="12.5" x14ac:dyDescent="0.25">
      <c r="A33" s="18"/>
      <c r="B33" s="18"/>
      <c r="C33" s="157"/>
      <c r="G33" s="452" t="s">
        <v>450</v>
      </c>
      <c r="H33" s="405">
        <v>101.35590679000001</v>
      </c>
      <c r="I33" s="405">
        <v>88.702537420000112</v>
      </c>
      <c r="J33" s="405">
        <v>93.81626768000001</v>
      </c>
      <c r="K33" s="405">
        <v>100.87154165000001</v>
      </c>
      <c r="L33" s="405">
        <v>93.480804369999902</v>
      </c>
      <c r="M33" s="405">
        <v>87.778948349999993</v>
      </c>
      <c r="N33" s="405">
        <v>115.44120479</v>
      </c>
      <c r="O33" s="405">
        <v>99.862257899999804</v>
      </c>
      <c r="P33" s="405">
        <v>56.812743910000101</v>
      </c>
      <c r="Q33" s="405">
        <v>104.13881723999999</v>
      </c>
      <c r="R33" s="405">
        <v>123.39883851</v>
      </c>
      <c r="S33" s="405">
        <v>137.96470440000002</v>
      </c>
      <c r="T33" s="405">
        <v>87.9236503999999</v>
      </c>
      <c r="U33" s="453">
        <f t="shared" si="2"/>
        <v>7.8008954513215629</v>
      </c>
      <c r="X33" s="18"/>
      <c r="Y33" s="18"/>
      <c r="Z33" s="18"/>
      <c r="AA33" s="18"/>
      <c r="AB33" s="18"/>
      <c r="AC33" s="18"/>
      <c r="AD33" s="18"/>
      <c r="AE33" s="18"/>
    </row>
    <row r="34" spans="1:31" s="31" customFormat="1" ht="12.5" x14ac:dyDescent="0.25">
      <c r="A34" s="18"/>
      <c r="B34" s="18"/>
      <c r="C34" s="18"/>
      <c r="G34" s="380" t="s">
        <v>692</v>
      </c>
      <c r="H34" s="381">
        <v>81.6530384900001</v>
      </c>
      <c r="I34" s="381">
        <v>101.56805860999999</v>
      </c>
      <c r="J34" s="381">
        <v>105.30132243000001</v>
      </c>
      <c r="K34" s="381">
        <v>96.970918950000112</v>
      </c>
      <c r="L34" s="381">
        <v>121.78218409999999</v>
      </c>
      <c r="M34" s="381">
        <v>103.01299601000001</v>
      </c>
      <c r="N34" s="381">
        <v>135.40307758</v>
      </c>
      <c r="O34" s="381">
        <v>111.45557069</v>
      </c>
      <c r="P34" s="381">
        <v>76.64187754000001</v>
      </c>
      <c r="Q34" s="381">
        <v>116.919888970001</v>
      </c>
      <c r="R34" s="381">
        <v>120.35244310000101</v>
      </c>
      <c r="S34" s="381">
        <v>100.17520817</v>
      </c>
      <c r="T34" s="381">
        <v>83.623597559999794</v>
      </c>
      <c r="U34" s="449">
        <f t="shared" si="2"/>
        <v>7.4193796420098144</v>
      </c>
      <c r="X34" s="18"/>
      <c r="Y34" s="18"/>
      <c r="Z34" s="18"/>
      <c r="AA34" s="18"/>
      <c r="AB34" s="18"/>
      <c r="AC34" s="18"/>
      <c r="AD34" s="18"/>
      <c r="AE34" s="18"/>
    </row>
    <row r="35" spans="1:31" ht="14.5" customHeight="1" x14ac:dyDescent="0.25">
      <c r="B35" s="18"/>
      <c r="C35" s="18"/>
      <c r="G35" s="450" t="s">
        <v>455</v>
      </c>
      <c r="H35" s="404">
        <v>119.11086526000001</v>
      </c>
      <c r="I35" s="404">
        <v>115.66965939000001</v>
      </c>
      <c r="J35" s="404">
        <v>76.819359050000003</v>
      </c>
      <c r="K35" s="404">
        <v>78.946756890000003</v>
      </c>
      <c r="L35" s="404">
        <v>96.2685812900001</v>
      </c>
      <c r="M35" s="404">
        <v>95.6126039399999</v>
      </c>
      <c r="N35" s="404">
        <v>111.50985206</v>
      </c>
      <c r="O35" s="404">
        <v>113.20920103</v>
      </c>
      <c r="P35" s="404">
        <v>81.520540740000001</v>
      </c>
      <c r="Q35" s="404">
        <v>104.44740429000001</v>
      </c>
      <c r="R35" s="404">
        <v>109.37048152</v>
      </c>
      <c r="S35" s="404">
        <v>90.40950620000001</v>
      </c>
      <c r="T35" s="404">
        <v>82.032046819999906</v>
      </c>
      <c r="U35" s="451">
        <f t="shared" si="2"/>
        <v>7.2781716635907028</v>
      </c>
      <c r="X35" s="18"/>
      <c r="Y35" s="18"/>
      <c r="Z35" s="18"/>
      <c r="AA35" s="18"/>
      <c r="AB35" s="18"/>
      <c r="AC35" s="18"/>
      <c r="AD35" s="18"/>
      <c r="AE35" s="18"/>
    </row>
    <row r="36" spans="1:31" ht="14.5" customHeight="1" x14ac:dyDescent="0.25">
      <c r="B36" s="18"/>
      <c r="C36" s="18"/>
      <c r="G36" s="380" t="s">
        <v>454</v>
      </c>
      <c r="H36" s="381">
        <v>76.280139340000005</v>
      </c>
      <c r="I36" s="381">
        <v>48.591157289999998</v>
      </c>
      <c r="J36" s="381">
        <v>71.264217900000006</v>
      </c>
      <c r="K36" s="381">
        <v>58.867327840000002</v>
      </c>
      <c r="L36" s="381">
        <v>75.661945160000002</v>
      </c>
      <c r="M36" s="381">
        <v>56.662260420000003</v>
      </c>
      <c r="N36" s="381">
        <v>71.047925370000002</v>
      </c>
      <c r="O36" s="381">
        <v>60.597579659999994</v>
      </c>
      <c r="P36" s="381">
        <v>78.820293939999999</v>
      </c>
      <c r="Q36" s="381">
        <v>112.91071776999999</v>
      </c>
      <c r="R36" s="381">
        <v>98.51716104000009</v>
      </c>
      <c r="S36" s="381">
        <v>76.01285086</v>
      </c>
      <c r="T36" s="381">
        <v>80.277158810000003</v>
      </c>
      <c r="U36" s="449">
        <f t="shared" si="2"/>
        <v>7.1224718281936621</v>
      </c>
      <c r="X36" s="18"/>
      <c r="Y36" s="18"/>
      <c r="Z36" s="18"/>
      <c r="AA36" s="18"/>
      <c r="AB36" s="18"/>
      <c r="AC36" s="18"/>
      <c r="AD36" s="18"/>
      <c r="AE36" s="18"/>
    </row>
    <row r="37" spans="1:31" ht="14.5" customHeight="1" x14ac:dyDescent="0.25">
      <c r="G37" s="450" t="s">
        <v>448</v>
      </c>
      <c r="H37" s="404">
        <v>85.967860810000005</v>
      </c>
      <c r="I37" s="404">
        <v>73.356287739999999</v>
      </c>
      <c r="J37" s="404">
        <v>75.427141860000106</v>
      </c>
      <c r="K37" s="404">
        <v>66.891837549999991</v>
      </c>
      <c r="L37" s="404">
        <v>72.779813379999993</v>
      </c>
      <c r="M37" s="404">
        <v>72.585886119999898</v>
      </c>
      <c r="N37" s="404">
        <v>75.312927599999995</v>
      </c>
      <c r="O37" s="404">
        <v>84.004141609999891</v>
      </c>
      <c r="P37" s="404">
        <v>44.702917569999997</v>
      </c>
      <c r="Q37" s="404">
        <v>92.792496820000096</v>
      </c>
      <c r="R37" s="404">
        <v>92.561320779999903</v>
      </c>
      <c r="S37" s="404">
        <v>77.231168609999997</v>
      </c>
      <c r="T37" s="404">
        <v>58.312566700000097</v>
      </c>
      <c r="U37" s="451">
        <f t="shared" si="2"/>
        <v>5.1736959766278821</v>
      </c>
      <c r="X37" s="18"/>
      <c r="Y37" s="18"/>
      <c r="Z37" s="18"/>
      <c r="AA37" s="18"/>
      <c r="AB37" s="18"/>
      <c r="AC37" s="18"/>
      <c r="AD37" s="18"/>
      <c r="AE37" s="18"/>
    </row>
    <row r="38" spans="1:31" ht="14.5" customHeight="1" x14ac:dyDescent="0.25">
      <c r="G38" s="380" t="s">
        <v>445</v>
      </c>
      <c r="H38" s="381">
        <v>27.920335269999999</v>
      </c>
      <c r="I38" s="381">
        <v>55.767664859999996</v>
      </c>
      <c r="J38" s="381">
        <v>63.016438639999897</v>
      </c>
      <c r="K38" s="381">
        <v>49.301546200000004</v>
      </c>
      <c r="L38" s="381">
        <v>45.956522590000006</v>
      </c>
      <c r="M38" s="381">
        <v>40.471518359999997</v>
      </c>
      <c r="N38" s="381">
        <v>44.803766719999999</v>
      </c>
      <c r="O38" s="381">
        <v>39.246828130000004</v>
      </c>
      <c r="P38" s="381">
        <v>21.281244170000001</v>
      </c>
      <c r="Q38" s="381">
        <v>60.295765450000097</v>
      </c>
      <c r="R38" s="381">
        <v>58.737227120000099</v>
      </c>
      <c r="S38" s="381">
        <v>35.009049420000004</v>
      </c>
      <c r="T38" s="381">
        <v>41.37897985</v>
      </c>
      <c r="U38" s="449">
        <f t="shared" si="2"/>
        <v>3.6712886035062979</v>
      </c>
      <c r="X38" s="18"/>
      <c r="Y38" s="18"/>
      <c r="Z38" s="18"/>
      <c r="AA38" s="18"/>
      <c r="AB38" s="18"/>
      <c r="AC38" s="18"/>
      <c r="AD38" s="18"/>
      <c r="AE38" s="18"/>
    </row>
    <row r="39" spans="1:31" ht="14.5" customHeight="1" x14ac:dyDescent="0.25">
      <c r="G39" s="450" t="s">
        <v>446</v>
      </c>
      <c r="H39" s="404">
        <v>38.5752922100001</v>
      </c>
      <c r="I39" s="404">
        <v>42.815446399999999</v>
      </c>
      <c r="J39" s="404">
        <v>40.792668850000204</v>
      </c>
      <c r="K39" s="404">
        <v>40.316741290000103</v>
      </c>
      <c r="L39" s="404">
        <v>40.5036694900001</v>
      </c>
      <c r="M39" s="404">
        <v>35.855418100000001</v>
      </c>
      <c r="N39" s="404">
        <v>43.885959750000097</v>
      </c>
      <c r="O39" s="404">
        <v>44.625768800000195</v>
      </c>
      <c r="P39" s="404">
        <v>31.67342185</v>
      </c>
      <c r="Q39" s="404">
        <v>50.773741020000195</v>
      </c>
      <c r="R39" s="404">
        <v>47.456688510000198</v>
      </c>
      <c r="S39" s="404">
        <v>38.894170729999999</v>
      </c>
      <c r="T39" s="404">
        <v>40.16569423</v>
      </c>
      <c r="U39" s="451">
        <f t="shared" si="2"/>
        <v>3.5636416367214445</v>
      </c>
      <c r="X39" s="18"/>
      <c r="Y39" s="18"/>
      <c r="Z39" s="18"/>
      <c r="AA39" s="18"/>
      <c r="AB39" s="18"/>
      <c r="AC39" s="18"/>
      <c r="AD39" s="18"/>
      <c r="AE39" s="18"/>
    </row>
    <row r="40" spans="1:31" ht="14.5" customHeight="1" x14ac:dyDescent="0.25">
      <c r="G40" s="380" t="s">
        <v>449</v>
      </c>
      <c r="H40" s="381">
        <v>37.14285443</v>
      </c>
      <c r="I40" s="381">
        <v>49.600757000000002</v>
      </c>
      <c r="J40" s="381">
        <v>55.853806859999999</v>
      </c>
      <c r="K40" s="381">
        <v>36.54847367</v>
      </c>
      <c r="L40" s="381">
        <v>50.554074799999995</v>
      </c>
      <c r="M40" s="381">
        <v>48.401121350000004</v>
      </c>
      <c r="N40" s="381">
        <v>46.32875233</v>
      </c>
      <c r="O40" s="381">
        <v>63.174532500000097</v>
      </c>
      <c r="P40" s="381">
        <v>49.524338319999998</v>
      </c>
      <c r="Q40" s="381">
        <v>63.221681770000004</v>
      </c>
      <c r="R40" s="381">
        <v>29.949837850000002</v>
      </c>
      <c r="S40" s="381">
        <v>51.788517880000001</v>
      </c>
      <c r="T40" s="381">
        <v>38.008107020000004</v>
      </c>
      <c r="U40" s="449">
        <f t="shared" si="2"/>
        <v>3.3722129121888864</v>
      </c>
      <c r="X40" s="18"/>
      <c r="Y40" s="18"/>
      <c r="Z40" s="18"/>
      <c r="AA40" s="18"/>
      <c r="AB40" s="18"/>
      <c r="AC40" s="18"/>
      <c r="AD40" s="18"/>
      <c r="AE40" s="18"/>
    </row>
    <row r="41" spans="1:31" ht="14.5" customHeight="1" x14ac:dyDescent="0.25">
      <c r="G41" s="450" t="s">
        <v>447</v>
      </c>
      <c r="H41" s="404">
        <v>35.989867429999904</v>
      </c>
      <c r="I41" s="404">
        <v>33.771069439999998</v>
      </c>
      <c r="J41" s="404">
        <v>45.989590820000004</v>
      </c>
      <c r="K41" s="404">
        <v>39.343978979999996</v>
      </c>
      <c r="L41" s="404">
        <v>47.092006269999899</v>
      </c>
      <c r="M41" s="404">
        <v>39.082422719999997</v>
      </c>
      <c r="N41" s="404">
        <v>55.459984849999898</v>
      </c>
      <c r="O41" s="404">
        <v>55.076364040000001</v>
      </c>
      <c r="P41" s="404">
        <v>41.481761829999996</v>
      </c>
      <c r="Q41" s="404">
        <v>51.362716299999903</v>
      </c>
      <c r="R41" s="404">
        <v>58.077315690000098</v>
      </c>
      <c r="S41" s="404">
        <v>33.869183700000001</v>
      </c>
      <c r="T41" s="404">
        <v>35.968398649999997</v>
      </c>
      <c r="U41" s="451">
        <f t="shared" si="2"/>
        <v>3.1912428128678552</v>
      </c>
      <c r="X41" s="18"/>
      <c r="Y41" s="18"/>
      <c r="Z41" s="18"/>
      <c r="AA41" s="18"/>
      <c r="AB41" s="18"/>
      <c r="AC41" s="18"/>
      <c r="AD41" s="18"/>
      <c r="AE41" s="18"/>
    </row>
    <row r="42" spans="1:31" ht="14.5" customHeight="1" x14ac:dyDescent="0.25">
      <c r="G42" s="380" t="s">
        <v>452</v>
      </c>
      <c r="H42" s="381">
        <v>48.555269989999999</v>
      </c>
      <c r="I42" s="381">
        <v>38.026820360000002</v>
      </c>
      <c r="J42" s="381">
        <v>36.138869369999995</v>
      </c>
      <c r="K42" s="381">
        <v>42.554671290000002</v>
      </c>
      <c r="L42" s="381">
        <v>50.692289270000003</v>
      </c>
      <c r="M42" s="381">
        <v>61.733041659999998</v>
      </c>
      <c r="N42" s="381">
        <v>46.725126530000004</v>
      </c>
      <c r="O42" s="381">
        <v>55.59448982</v>
      </c>
      <c r="P42" s="381">
        <v>72.6889039</v>
      </c>
      <c r="Q42" s="381">
        <v>61.430596899999998</v>
      </c>
      <c r="R42" s="381">
        <v>42.553364509999994</v>
      </c>
      <c r="S42" s="381">
        <v>34.898056990000001</v>
      </c>
      <c r="T42" s="381">
        <v>35.02470383</v>
      </c>
      <c r="U42" s="449">
        <f t="shared" si="2"/>
        <v>3.1075148898882867</v>
      </c>
      <c r="X42" s="18"/>
      <c r="Y42" s="18"/>
      <c r="Z42" s="18"/>
      <c r="AA42" s="18"/>
      <c r="AB42" s="18"/>
      <c r="AC42" s="18"/>
      <c r="AD42" s="18"/>
      <c r="AE42" s="18"/>
    </row>
    <row r="43" spans="1:31" ht="14.5" customHeight="1" x14ac:dyDescent="0.25">
      <c r="G43" s="450" t="s">
        <v>444</v>
      </c>
      <c r="H43" s="404">
        <v>44.4847658300002</v>
      </c>
      <c r="I43" s="404">
        <v>45.285500619999901</v>
      </c>
      <c r="J43" s="404">
        <v>51.45168065</v>
      </c>
      <c r="K43" s="404">
        <v>50.1307155900002</v>
      </c>
      <c r="L43" s="404">
        <v>47.517697750000202</v>
      </c>
      <c r="M43" s="404">
        <v>27.622819460000102</v>
      </c>
      <c r="N43" s="404">
        <v>33.8310247900002</v>
      </c>
      <c r="O43" s="404">
        <v>32.845263280000196</v>
      </c>
      <c r="P43" s="404">
        <v>19.416473359999998</v>
      </c>
      <c r="Q43" s="404">
        <v>32.765853480000203</v>
      </c>
      <c r="R43" s="404">
        <v>36.864749689999996</v>
      </c>
      <c r="S43" s="404">
        <v>30.755680050000198</v>
      </c>
      <c r="T43" s="404">
        <v>34.0245654100001</v>
      </c>
      <c r="U43" s="451">
        <f t="shared" si="2"/>
        <v>3.0187790922300359</v>
      </c>
      <c r="X43" s="18"/>
      <c r="Y43" s="18"/>
      <c r="Z43" s="18"/>
      <c r="AA43" s="18"/>
      <c r="AB43" s="18"/>
      <c r="AC43" s="18"/>
      <c r="AD43" s="18"/>
      <c r="AE43" s="18"/>
    </row>
    <row r="44" spans="1:31" ht="14.5" customHeight="1" x14ac:dyDescent="0.25">
      <c r="F44" s="18"/>
      <c r="G44" s="380" t="s">
        <v>443</v>
      </c>
      <c r="H44" s="381">
        <v>23.319978210000002</v>
      </c>
      <c r="I44" s="381">
        <v>26.516205120000002</v>
      </c>
      <c r="J44" s="381">
        <v>32.550548159999998</v>
      </c>
      <c r="K44" s="381">
        <v>26.422515920000002</v>
      </c>
      <c r="L44" s="381">
        <v>28.366822600000003</v>
      </c>
      <c r="M44" s="381">
        <v>31.469473140000002</v>
      </c>
      <c r="N44" s="381">
        <v>34.095347240000002</v>
      </c>
      <c r="O44" s="381">
        <v>32.216702570000002</v>
      </c>
      <c r="P44" s="381">
        <v>18.16986661</v>
      </c>
      <c r="Q44" s="381">
        <v>38.85380911</v>
      </c>
      <c r="R44" s="381">
        <v>41.331012950000002</v>
      </c>
      <c r="S44" s="381">
        <v>19.958808920000003</v>
      </c>
      <c r="T44" s="381">
        <v>24.926103569999999</v>
      </c>
      <c r="U44" s="449">
        <f t="shared" si="2"/>
        <v>2.2115315625974441</v>
      </c>
      <c r="X44" s="18"/>
      <c r="Y44" s="18"/>
      <c r="Z44" s="18"/>
      <c r="AA44" s="18"/>
      <c r="AB44" s="18"/>
      <c r="AC44" s="18"/>
      <c r="AD44" s="18"/>
      <c r="AE44" s="18"/>
    </row>
    <row r="45" spans="1:31" ht="14.5" customHeight="1" x14ac:dyDescent="0.25">
      <c r="F45" s="18"/>
      <c r="G45" s="450" t="s">
        <v>442</v>
      </c>
      <c r="H45" s="404">
        <v>9.7637194000000012</v>
      </c>
      <c r="I45" s="404">
        <v>18.72284252</v>
      </c>
      <c r="J45" s="404">
        <v>6.76820311</v>
      </c>
      <c r="K45" s="404">
        <v>7.3331255400000002</v>
      </c>
      <c r="L45" s="404">
        <v>8.4380970000000097</v>
      </c>
      <c r="M45" s="404">
        <v>12.7736924</v>
      </c>
      <c r="N45" s="404">
        <v>9.3171402100000016</v>
      </c>
      <c r="O45" s="404">
        <v>7.1783791300000104</v>
      </c>
      <c r="P45" s="404">
        <v>9.1982258800000007</v>
      </c>
      <c r="Q45" s="404">
        <v>9.9776255000000003</v>
      </c>
      <c r="R45" s="404">
        <v>14.504456509999999</v>
      </c>
      <c r="S45" s="404">
        <v>8.5087979300000001</v>
      </c>
      <c r="T45" s="404">
        <v>15.033765369999999</v>
      </c>
      <c r="U45" s="451">
        <f t="shared" si="2"/>
        <v>1.3338485306004624</v>
      </c>
      <c r="X45" s="18"/>
      <c r="Y45" s="18"/>
      <c r="Z45" s="18"/>
      <c r="AA45" s="18"/>
      <c r="AB45" s="18"/>
      <c r="AC45" s="18"/>
      <c r="AD45" s="18"/>
      <c r="AE45" s="18"/>
    </row>
    <row r="46" spans="1:31" ht="14.5" customHeight="1" x14ac:dyDescent="0.25">
      <c r="F46" s="18"/>
      <c r="G46" s="382" t="s">
        <v>441</v>
      </c>
      <c r="H46" s="383">
        <v>0.28529524000000001</v>
      </c>
      <c r="I46" s="383">
        <v>0.26452907000000003</v>
      </c>
      <c r="J46" s="383">
        <v>1.4312807299999999</v>
      </c>
      <c r="K46" s="383">
        <v>0.18689731000000001</v>
      </c>
      <c r="L46" s="383">
        <v>2.1864316400000003</v>
      </c>
      <c r="M46" s="383">
        <v>6.2713740000000004E-2</v>
      </c>
      <c r="N46" s="383">
        <v>2.46609648</v>
      </c>
      <c r="O46" s="383">
        <v>0.78716419999999998</v>
      </c>
      <c r="P46" s="383">
        <v>0.17254168</v>
      </c>
      <c r="Q46" s="383">
        <v>5.2722026</v>
      </c>
      <c r="R46" s="383">
        <v>3.8566125699999998</v>
      </c>
      <c r="S46" s="383">
        <v>8.2148539999999992E-2</v>
      </c>
      <c r="T46" s="383">
        <v>3.5382215800000001</v>
      </c>
      <c r="U46" s="454">
        <f t="shared" si="2"/>
        <v>0.31392346090750828</v>
      </c>
      <c r="X46" s="18"/>
      <c r="Y46" s="18"/>
      <c r="Z46" s="18"/>
      <c r="AA46" s="18"/>
      <c r="AB46" s="18"/>
      <c r="AC46" s="18"/>
      <c r="AD46" s="18"/>
      <c r="AE46" s="18"/>
    </row>
    <row r="47" spans="1:31" ht="14.5" customHeight="1" x14ac:dyDescent="0.3">
      <c r="A47" s="31"/>
      <c r="B47" s="31"/>
      <c r="C47" s="31"/>
      <c r="D47" s="31"/>
      <c r="E47" s="31"/>
      <c r="F47" s="157"/>
      <c r="G47" s="455" t="s">
        <v>217</v>
      </c>
      <c r="H47" s="456">
        <f t="shared" ref="H47:U47" si="3">SUM(H29:H46)</f>
        <v>1503.7059874600006</v>
      </c>
      <c r="I47" s="456">
        <f t="shared" si="3"/>
        <v>1487.6782857600001</v>
      </c>
      <c r="J47" s="456">
        <f t="shared" si="3"/>
        <v>1430.6964128030008</v>
      </c>
      <c r="K47" s="456">
        <f t="shared" si="3"/>
        <v>1208.3520022700004</v>
      </c>
      <c r="L47" s="456">
        <f t="shared" si="3"/>
        <v>1277.29794083</v>
      </c>
      <c r="M47" s="456">
        <f t="shared" si="3"/>
        <v>1303.9203147900002</v>
      </c>
      <c r="N47" s="456">
        <f t="shared" si="3"/>
        <v>1454.6638963800003</v>
      </c>
      <c r="O47" s="456">
        <f t="shared" si="3"/>
        <v>1397.9791793300005</v>
      </c>
      <c r="P47" s="456">
        <f t="shared" si="3"/>
        <v>1335.2278146500003</v>
      </c>
      <c r="Q47" s="456">
        <f t="shared" si="3"/>
        <v>1648.0781279500013</v>
      </c>
      <c r="R47" s="456">
        <f t="shared" si="3"/>
        <v>1481.1683673600016</v>
      </c>
      <c r="S47" s="456">
        <f t="shared" si="3"/>
        <v>1299.7429125900001</v>
      </c>
      <c r="T47" s="456">
        <f t="shared" si="3"/>
        <v>1127.0968948199993</v>
      </c>
      <c r="U47" s="455">
        <f t="shared" si="3"/>
        <v>100.00000000000001</v>
      </c>
    </row>
    <row r="48" spans="1:31" ht="14.5" customHeight="1" x14ac:dyDescent="0.25">
      <c r="A48" s="31"/>
      <c r="B48" s="31"/>
      <c r="C48" s="31"/>
      <c r="D48" s="31"/>
      <c r="E48" s="31"/>
      <c r="F48" s="157"/>
    </row>
    <row r="49" spans="1:21" ht="14.5" customHeight="1" x14ac:dyDescent="0.25">
      <c r="A49" s="31"/>
      <c r="B49" s="31"/>
      <c r="C49" s="31"/>
      <c r="D49" s="31"/>
      <c r="E49" s="31"/>
      <c r="F49" s="157"/>
    </row>
    <row r="50" spans="1:21" ht="14.5" customHeight="1" x14ac:dyDescent="0.25">
      <c r="A50" s="31"/>
      <c r="B50" s="31"/>
      <c r="C50" s="31"/>
      <c r="D50" s="31"/>
      <c r="E50" s="31"/>
      <c r="F50" s="157"/>
      <c r="G50" s="1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8"/>
    </row>
    <row r="51" spans="1:21" ht="14.5" customHeight="1" x14ac:dyDescent="0.25">
      <c r="A51" s="31"/>
      <c r="B51" s="31"/>
      <c r="C51" s="31"/>
      <c r="D51" s="31"/>
      <c r="E51" s="31"/>
      <c r="F51" s="157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5" customHeight="1" x14ac:dyDescent="0.25">
      <c r="A52" s="31"/>
      <c r="B52" s="31"/>
      <c r="C52" s="31"/>
      <c r="D52" s="31"/>
      <c r="E52" s="31"/>
      <c r="F52" s="157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5" customHeight="1" x14ac:dyDescent="0.25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</row>
    <row r="70" spans="6:23" ht="14.5" customHeight="1" x14ac:dyDescent="0.25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3"/>
      <c r="V70" s="43"/>
      <c r="W70" s="43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3"/>
      <c r="V71" s="43"/>
      <c r="W71" s="43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3"/>
      <c r="V72" s="43"/>
      <c r="W72" s="43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3"/>
      <c r="V73" s="43"/>
      <c r="W73" s="43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3"/>
      <c r="V74" s="43"/>
      <c r="W74" s="43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3"/>
      <c r="V75" s="43"/>
      <c r="W75" s="43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3"/>
      <c r="V76" s="43"/>
      <c r="W76" s="43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3"/>
      <c r="V77" s="43"/>
      <c r="W77" s="43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3"/>
      <c r="V78" s="43"/>
      <c r="W78" s="43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3"/>
      <c r="V79" s="43"/>
      <c r="W79" s="43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3"/>
      <c r="V80" s="43"/>
      <c r="W80" s="43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3"/>
      <c r="V81" s="43"/>
      <c r="W81" s="43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3"/>
      <c r="V82" s="43"/>
      <c r="W82" s="43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3"/>
      <c r="V83" s="43"/>
      <c r="W83" s="43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3"/>
      <c r="V84" s="43"/>
      <c r="W84" s="43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3"/>
      <c r="V85" s="43"/>
      <c r="W85" s="43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3"/>
      <c r="V86" s="43"/>
      <c r="W86" s="43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3"/>
      <c r="V87" s="43"/>
      <c r="W87" s="43"/>
    </row>
    <row r="88" spans="6:23" ht="14.5" customHeight="1" x14ac:dyDescent="0.25">
      <c r="F88" s="18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</sheetData>
  <sortState xmlns:xlrd2="http://schemas.microsoft.com/office/spreadsheetml/2017/richdata2" ref="G29:U46">
    <sortCondition descending="1" ref="T29:T46"/>
  </sortState>
  <mergeCells count="7">
    <mergeCell ref="G27:G28"/>
    <mergeCell ref="G3:U3"/>
    <mergeCell ref="G26:U26"/>
    <mergeCell ref="G4:G5"/>
    <mergeCell ref="A5:A16"/>
    <mergeCell ref="H4:S4"/>
    <mergeCell ref="H27:S27"/>
  </mergeCells>
  <phoneticPr fontId="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Q37"/>
  <sheetViews>
    <sheetView zoomScaleNormal="100" workbookViewId="0">
      <selection activeCell="G1" sqref="G1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14" width="10.54296875" style="1" customWidth="1"/>
    <col min="15" max="15" width="20.81640625" style="1" customWidth="1"/>
    <col min="16" max="72" width="10.54296875" style="1" customWidth="1"/>
    <col min="73" max="16384" width="44.81640625" style="1"/>
  </cols>
  <sheetData>
    <row r="1" spans="1:17" ht="13" x14ac:dyDescent="0.3">
      <c r="A1" s="3" t="s">
        <v>703</v>
      </c>
      <c r="B1" s="3"/>
      <c r="C1" s="3"/>
      <c r="D1" s="3"/>
      <c r="E1" s="178"/>
      <c r="F1" s="171"/>
      <c r="G1" s="7" t="s">
        <v>239</v>
      </c>
      <c r="H1" s="171"/>
      <c r="I1" s="171"/>
      <c r="J1" s="171"/>
      <c r="K1" s="171"/>
      <c r="L1" s="171"/>
      <c r="M1" s="171"/>
    </row>
    <row r="2" spans="1:17" x14ac:dyDescent="0.25">
      <c r="B2" s="171"/>
      <c r="C2" s="171"/>
      <c r="D2" s="171"/>
      <c r="E2" s="178"/>
      <c r="F2" s="171"/>
      <c r="G2" s="171"/>
      <c r="H2" s="171"/>
      <c r="I2" s="171"/>
    </row>
    <row r="3" spans="1:17" ht="13" x14ac:dyDescent="0.3">
      <c r="A3" s="177" t="s">
        <v>394</v>
      </c>
      <c r="B3" s="177" t="s">
        <v>460</v>
      </c>
      <c r="C3" s="176" t="s">
        <v>243</v>
      </c>
      <c r="D3" s="176" t="s">
        <v>219</v>
      </c>
      <c r="E3" s="176" t="s">
        <v>459</v>
      </c>
      <c r="F3" s="171"/>
      <c r="G3" s="171"/>
      <c r="H3" s="171"/>
      <c r="I3" s="171"/>
      <c r="J3" s="171"/>
      <c r="K3" s="171"/>
      <c r="L3" s="171"/>
      <c r="M3" s="171"/>
    </row>
    <row r="4" spans="1:17" ht="12.65" customHeight="1" x14ac:dyDescent="0.25">
      <c r="A4" s="651">
        <v>2025</v>
      </c>
      <c r="B4" s="46" t="s">
        <v>221</v>
      </c>
      <c r="C4" s="379">
        <v>127.56322879000001</v>
      </c>
      <c r="D4" s="379">
        <v>286.56316382</v>
      </c>
      <c r="E4" s="175">
        <f>Table464413[[#This Row],[Column2]]-Table464413[[#This Row],[Column3]]</f>
        <v>-158.99993502999999</v>
      </c>
      <c r="F4" s="171"/>
      <c r="G4" s="347"/>
      <c r="H4" s="347"/>
      <c r="I4" s="171"/>
      <c r="J4" s="171"/>
      <c r="K4" s="171"/>
      <c r="L4" s="4"/>
      <c r="M4" s="4"/>
      <c r="P4" s="4"/>
      <c r="Q4" s="4"/>
    </row>
    <row r="5" spans="1:17" ht="12.65" customHeight="1" x14ac:dyDescent="0.25">
      <c r="A5" s="652"/>
      <c r="B5" s="46" t="s">
        <v>222</v>
      </c>
      <c r="C5" s="381">
        <v>71.420575209999996</v>
      </c>
      <c r="D5" s="381">
        <v>338.72973273000099</v>
      </c>
      <c r="E5" s="174">
        <f>Table464413[[#This Row],[Column2]]-Table464413[[#This Row],[Column3]]</f>
        <v>-267.30915752000101</v>
      </c>
      <c r="F5" s="171"/>
      <c r="G5" s="347"/>
      <c r="H5" s="347"/>
      <c r="I5" s="171"/>
      <c r="J5" s="171"/>
      <c r="K5" s="171"/>
      <c r="L5" s="4"/>
      <c r="M5" s="4"/>
      <c r="P5" s="4"/>
      <c r="Q5" s="4"/>
    </row>
    <row r="6" spans="1:17" ht="15.65" customHeight="1" x14ac:dyDescent="0.25">
      <c r="A6" s="652"/>
      <c r="B6" s="46" t="s">
        <v>223</v>
      </c>
      <c r="C6" s="381">
        <v>72.697408680000009</v>
      </c>
      <c r="D6" s="381">
        <v>255.50353156000099</v>
      </c>
      <c r="E6" s="174">
        <f>Table464413[[#This Row],[Column2]]-Table464413[[#This Row],[Column3]]</f>
        <v>-182.806122880001</v>
      </c>
      <c r="F6" s="171"/>
      <c r="G6" s="347"/>
      <c r="H6" s="347"/>
      <c r="I6" s="171"/>
      <c r="J6" s="171"/>
      <c r="K6" s="171"/>
      <c r="L6" s="4"/>
      <c r="M6" s="4"/>
      <c r="P6" s="4"/>
      <c r="Q6" s="4"/>
    </row>
    <row r="7" spans="1:17" ht="16.5" customHeight="1" x14ac:dyDescent="0.25">
      <c r="A7" s="652"/>
      <c r="B7" s="46" t="s">
        <v>224</v>
      </c>
      <c r="C7" s="381">
        <v>62.156433880000002</v>
      </c>
      <c r="D7" s="381">
        <v>250.30074699000002</v>
      </c>
      <c r="E7" s="174">
        <f>Table464413[[#This Row],[Column2]]-Table464413[[#This Row],[Column3]]</f>
        <v>-188.14431311000001</v>
      </c>
      <c r="F7" s="171"/>
      <c r="G7" s="347"/>
      <c r="H7" s="347"/>
      <c r="I7" s="171"/>
      <c r="J7" s="171"/>
      <c r="K7" s="171"/>
      <c r="L7" s="4"/>
      <c r="M7" s="4"/>
      <c r="P7" s="4"/>
      <c r="Q7" s="4"/>
    </row>
    <row r="8" spans="1:17" ht="12.65" customHeight="1" x14ac:dyDescent="0.25">
      <c r="A8" s="652"/>
      <c r="B8" s="46" t="s">
        <v>225</v>
      </c>
      <c r="C8" s="381">
        <v>83.740222079999995</v>
      </c>
      <c r="D8" s="381">
        <v>261.635311040001</v>
      </c>
      <c r="E8" s="174">
        <f>Table464413[[#This Row],[Column2]]-Table464413[[#This Row],[Column3]]</f>
        <v>-177.895088960001</v>
      </c>
      <c r="F8" s="171"/>
      <c r="G8" s="347"/>
      <c r="H8" s="347"/>
      <c r="I8" s="171"/>
      <c r="J8" s="171"/>
      <c r="K8" s="171"/>
      <c r="L8" s="4"/>
      <c r="M8" s="4"/>
      <c r="P8" s="4"/>
      <c r="Q8" s="4"/>
    </row>
    <row r="9" spans="1:17" ht="12.65" customHeight="1" x14ac:dyDescent="0.25">
      <c r="A9" s="652"/>
      <c r="B9" s="46" t="s">
        <v>226</v>
      </c>
      <c r="C9" s="381">
        <v>95.837890860000002</v>
      </c>
      <c r="D9" s="381">
        <v>282.28039374000002</v>
      </c>
      <c r="E9" s="174">
        <f>Table464413[[#This Row],[Column2]]-Table464413[[#This Row],[Column3]]</f>
        <v>-186.44250288000001</v>
      </c>
      <c r="F9" s="171"/>
      <c r="G9" s="347"/>
      <c r="H9" s="347"/>
      <c r="I9" s="171"/>
      <c r="J9" s="171"/>
      <c r="K9" s="171"/>
      <c r="L9" s="4"/>
      <c r="M9" s="4"/>
      <c r="P9" s="4"/>
      <c r="Q9" s="4"/>
    </row>
    <row r="10" spans="1:17" ht="12.65" customHeight="1" x14ac:dyDescent="0.25">
      <c r="A10" s="652"/>
      <c r="B10" s="46" t="s">
        <v>227</v>
      </c>
      <c r="C10" s="381">
        <v>66.895570590000005</v>
      </c>
      <c r="D10" s="381">
        <v>321.28350352999996</v>
      </c>
      <c r="E10" s="174">
        <f>Table464413[[#This Row],[Column2]]-Table464413[[#This Row],[Column3]]</f>
        <v>-254.38793293999996</v>
      </c>
      <c r="F10" s="171"/>
      <c r="G10" s="347"/>
      <c r="H10" s="347"/>
      <c r="I10" s="171"/>
      <c r="J10" s="171"/>
      <c r="K10" s="171"/>
      <c r="L10" s="4"/>
      <c r="M10" s="4"/>
      <c r="P10" s="4"/>
      <c r="Q10" s="4"/>
    </row>
    <row r="11" spans="1:17" ht="12.65" customHeight="1" x14ac:dyDescent="0.25">
      <c r="A11" s="652"/>
      <c r="B11" s="46" t="s">
        <v>228</v>
      </c>
      <c r="C11" s="381">
        <v>82.138313420000003</v>
      </c>
      <c r="D11" s="381">
        <v>349.25796129000099</v>
      </c>
      <c r="E11" s="174">
        <f>Table464413[[#This Row],[Column2]]-Table464413[[#This Row],[Column3]]</f>
        <v>-267.11964787000102</v>
      </c>
      <c r="F11" s="171"/>
      <c r="G11" s="347"/>
      <c r="H11" s="347"/>
      <c r="I11" s="171"/>
      <c r="J11" s="171"/>
      <c r="K11" s="171"/>
      <c r="L11" s="4"/>
      <c r="M11" s="4"/>
      <c r="P11" s="4"/>
      <c r="Q11" s="4"/>
    </row>
    <row r="12" spans="1:17" ht="12.65" customHeight="1" x14ac:dyDescent="0.25">
      <c r="A12" s="652"/>
      <c r="B12" s="46" t="s">
        <v>652</v>
      </c>
      <c r="C12" s="381">
        <v>50.515484799999996</v>
      </c>
      <c r="D12" s="381">
        <v>260.45613515999997</v>
      </c>
      <c r="E12" s="174">
        <f>Table464413[[#This Row],[Column2]]-Table464413[[#This Row],[Column3]]</f>
        <v>-209.94065035999998</v>
      </c>
      <c r="F12" s="171"/>
      <c r="G12" s="347"/>
      <c r="H12" s="347"/>
      <c r="I12" s="171"/>
      <c r="J12" s="171"/>
      <c r="K12" s="171"/>
      <c r="L12" s="4"/>
      <c r="M12" s="4"/>
      <c r="P12" s="4"/>
      <c r="Q12" s="4"/>
    </row>
    <row r="13" spans="1:17" s="3" customFormat="1" ht="14.5" customHeight="1" x14ac:dyDescent="0.3">
      <c r="A13" s="652"/>
      <c r="B13" s="46" t="s">
        <v>230</v>
      </c>
      <c r="C13" s="381">
        <v>125.28720745999999</v>
      </c>
      <c r="D13" s="381">
        <v>677.17027707000193</v>
      </c>
      <c r="E13" s="174">
        <f>Table464413[[#This Row],[Column2]]-Table464413[[#This Row],[Column3]]</f>
        <v>-551.88306961000194</v>
      </c>
      <c r="F13" s="171"/>
      <c r="G13" s="347"/>
      <c r="H13" s="347"/>
      <c r="I13" s="173"/>
      <c r="J13" s="173"/>
      <c r="K13" s="173"/>
      <c r="L13" s="4"/>
      <c r="M13" s="4"/>
      <c r="P13" s="4"/>
      <c r="Q13" s="4"/>
    </row>
    <row r="14" spans="1:17" s="3" customFormat="1" ht="13" x14ac:dyDescent="0.3">
      <c r="A14" s="652"/>
      <c r="B14" s="46" t="s">
        <v>231</v>
      </c>
      <c r="C14" s="381">
        <v>178.88463299</v>
      </c>
      <c r="D14" s="381">
        <v>430.23710824</v>
      </c>
      <c r="E14" s="174">
        <f>Table464413[[#This Row],[Column2]]-Table464413[[#This Row],[Column3]]</f>
        <v>-251.35247525</v>
      </c>
      <c r="F14" s="171"/>
      <c r="G14" s="347"/>
      <c r="H14" s="347"/>
      <c r="I14" s="173"/>
      <c r="J14" s="173"/>
      <c r="K14" s="173"/>
      <c r="L14" s="4"/>
      <c r="M14" s="4"/>
      <c r="P14" s="4"/>
      <c r="Q14" s="4"/>
    </row>
    <row r="15" spans="1:17" s="3" customFormat="1" ht="13" x14ac:dyDescent="0.3">
      <c r="A15" s="653"/>
      <c r="B15" s="46" t="s">
        <v>232</v>
      </c>
      <c r="C15" s="381">
        <v>99.59431601</v>
      </c>
      <c r="D15" s="381">
        <v>302.30034565000096</v>
      </c>
      <c r="E15" s="174">
        <f>Table464413[[#This Row],[Column2]]-Table464413[[#This Row],[Column3]]</f>
        <v>-202.70602964000096</v>
      </c>
      <c r="F15" s="171"/>
      <c r="G15" s="347"/>
      <c r="H15" s="347"/>
      <c r="I15" s="173"/>
      <c r="J15" s="173"/>
      <c r="K15" s="173"/>
      <c r="L15" s="4"/>
      <c r="M15" s="4"/>
      <c r="P15" s="4"/>
      <c r="Q15" s="4"/>
    </row>
    <row r="16" spans="1:17" ht="12.5" customHeight="1" x14ac:dyDescent="0.25">
      <c r="A16" s="457">
        <v>2026</v>
      </c>
      <c r="B16" s="46" t="s">
        <v>221</v>
      </c>
      <c r="C16" s="383">
        <v>90.135792159999994</v>
      </c>
      <c r="D16" s="383">
        <v>330.10573275000002</v>
      </c>
      <c r="E16" s="172">
        <f>Table464413[[#This Row],[Column2]]-Table464413[[#This Row],[Column3]]</f>
        <v>-239.96994059000002</v>
      </c>
      <c r="F16" s="171"/>
      <c r="G16" s="347"/>
      <c r="H16" s="347"/>
      <c r="L16" s="4"/>
      <c r="M16" s="4"/>
      <c r="P16" s="4"/>
      <c r="Q16" s="4"/>
    </row>
    <row r="17" spans="1:5" ht="13" x14ac:dyDescent="0.3">
      <c r="A17" s="170" t="s">
        <v>430</v>
      </c>
      <c r="B17" s="169"/>
      <c r="C17" s="168">
        <f>AVERAGE(C4:C16)</f>
        <v>92.835928994615387</v>
      </c>
      <c r="D17" s="167">
        <f>AVERAGE(D4:D16)</f>
        <v>334.29414950538506</v>
      </c>
      <c r="E17" s="346">
        <f>AVERAGE(E4:E16)</f>
        <v>-241.45822051076976</v>
      </c>
    </row>
    <row r="19" spans="1:5" x14ac:dyDescent="0.25">
      <c r="D19" s="2"/>
    </row>
    <row r="37" spans="2:2" x14ac:dyDescent="0.25">
      <c r="B37" s="13"/>
    </row>
  </sheetData>
  <mergeCells count="1">
    <mergeCell ref="A4:A15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S35"/>
  <sheetViews>
    <sheetView zoomScaleNormal="100" workbookViewId="0">
      <selection activeCell="G1" sqref="G1"/>
    </sheetView>
  </sheetViews>
  <sheetFormatPr defaultColWidth="9.1796875" defaultRowHeight="12.5" x14ac:dyDescent="0.25"/>
  <cols>
    <col min="1" max="1" width="17.81640625" style="126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4" bestFit="1" customWidth="1"/>
    <col min="9" max="16384" width="9.1796875" style="1"/>
  </cols>
  <sheetData>
    <row r="1" spans="1:19" ht="13" x14ac:dyDescent="0.3">
      <c r="A1" s="11" t="s">
        <v>704</v>
      </c>
      <c r="B1" s="11"/>
      <c r="C1" s="11"/>
      <c r="D1" s="11"/>
      <c r="E1" s="11"/>
      <c r="H1" s="353" t="s">
        <v>239</v>
      </c>
    </row>
    <row r="2" spans="1:19" ht="13" x14ac:dyDescent="0.3">
      <c r="A2" s="107"/>
      <c r="B2" s="3"/>
      <c r="C2" s="3"/>
      <c r="D2" s="3"/>
      <c r="E2" s="3"/>
    </row>
    <row r="3" spans="1:19" ht="13" x14ac:dyDescent="0.3">
      <c r="A3" s="654" t="s">
        <v>698</v>
      </c>
      <c r="B3" s="655"/>
      <c r="C3" s="655"/>
      <c r="D3" s="655"/>
      <c r="E3" s="655"/>
      <c r="F3" s="656"/>
    </row>
    <row r="4" spans="1:19" ht="14.5" customHeight="1" x14ac:dyDescent="0.3">
      <c r="A4" s="461" t="s">
        <v>436</v>
      </c>
      <c r="B4" s="298" t="s">
        <v>298</v>
      </c>
      <c r="C4" s="298" t="s">
        <v>297</v>
      </c>
      <c r="D4" s="298" t="s">
        <v>435</v>
      </c>
      <c r="E4" s="298" t="s">
        <v>432</v>
      </c>
      <c r="F4" s="350" t="s">
        <v>434</v>
      </c>
    </row>
    <row r="5" spans="1:19" x14ac:dyDescent="0.25">
      <c r="A5" s="458" t="s">
        <v>221</v>
      </c>
      <c r="B5" s="460">
        <v>0</v>
      </c>
      <c r="C5" s="352">
        <v>0</v>
      </c>
      <c r="D5" s="352">
        <v>0</v>
      </c>
      <c r="E5" s="352">
        <v>2.0793700000000001E-3</v>
      </c>
      <c r="F5" s="296">
        <v>0</v>
      </c>
      <c r="L5" s="2"/>
      <c r="M5" s="2"/>
      <c r="N5" s="2"/>
      <c r="O5" s="2"/>
      <c r="P5" s="2"/>
      <c r="Q5" s="2"/>
      <c r="R5" s="2"/>
      <c r="S5" s="2"/>
    </row>
    <row r="6" spans="1:19" x14ac:dyDescent="0.25">
      <c r="A6" s="459" t="s">
        <v>222</v>
      </c>
      <c r="B6" s="98">
        <v>0</v>
      </c>
      <c r="C6" s="351">
        <v>0</v>
      </c>
      <c r="D6" s="351">
        <v>0</v>
      </c>
      <c r="E6" s="351">
        <v>1.04691421</v>
      </c>
      <c r="F6" s="297">
        <f>(Table505473[[#This Row],[Column2]]/E5)-1</f>
        <v>502.47663474994823</v>
      </c>
      <c r="L6" s="2"/>
      <c r="M6" s="2"/>
      <c r="N6" s="2"/>
      <c r="O6" s="2"/>
      <c r="P6" s="2"/>
      <c r="Q6" s="2"/>
      <c r="R6" s="2"/>
      <c r="S6" s="2"/>
    </row>
    <row r="7" spans="1:19" x14ac:dyDescent="0.25">
      <c r="A7" s="459" t="s">
        <v>223</v>
      </c>
      <c r="B7" s="98">
        <v>0</v>
      </c>
      <c r="C7" s="351">
        <v>1.2372848999999999</v>
      </c>
      <c r="D7" s="351">
        <v>1.2372848999999999</v>
      </c>
      <c r="E7" s="351">
        <v>4.6786599500000001</v>
      </c>
      <c r="F7" s="297">
        <f>(Table505473[[#This Row],[Column2]]/E6)-1</f>
        <v>3.4690003300270424</v>
      </c>
      <c r="G7" s="15"/>
      <c r="L7" s="2"/>
      <c r="M7" s="2"/>
      <c r="N7" s="2"/>
      <c r="O7" s="2"/>
      <c r="P7" s="2"/>
      <c r="Q7" s="2"/>
      <c r="R7" s="2"/>
      <c r="S7" s="2"/>
    </row>
    <row r="8" spans="1:19" x14ac:dyDescent="0.25">
      <c r="A8" s="459" t="s">
        <v>224</v>
      </c>
      <c r="B8" s="98">
        <v>0</v>
      </c>
      <c r="C8" s="351">
        <v>0</v>
      </c>
      <c r="D8" s="351">
        <v>0</v>
      </c>
      <c r="E8" s="351">
        <v>0.78318171999999997</v>
      </c>
      <c r="F8" s="297">
        <f>(Table505473[[#This Row],[Column2]]/E7)-1</f>
        <v>-0.8326055476632791</v>
      </c>
      <c r="G8" s="178"/>
      <c r="H8" s="178"/>
      <c r="L8" s="2"/>
      <c r="M8" s="2"/>
      <c r="N8" s="2"/>
      <c r="O8" s="2"/>
      <c r="P8" s="2"/>
      <c r="Q8" s="2"/>
      <c r="R8" s="2"/>
      <c r="S8" s="2"/>
    </row>
    <row r="9" spans="1:19" x14ac:dyDescent="0.25">
      <c r="A9" s="459" t="s">
        <v>225</v>
      </c>
      <c r="B9" s="98">
        <v>0</v>
      </c>
      <c r="C9" s="351">
        <v>0</v>
      </c>
      <c r="D9" s="351">
        <v>0</v>
      </c>
      <c r="E9" s="351">
        <v>3.3466445199999999</v>
      </c>
      <c r="F9" s="297">
        <f>(Table505473[[#This Row],[Column2]]/E8)-1</f>
        <v>3.2731392147406098</v>
      </c>
      <c r="G9" s="129"/>
      <c r="H9" s="178"/>
      <c r="L9" s="2"/>
      <c r="M9" s="2"/>
      <c r="N9" s="2"/>
      <c r="O9" s="2"/>
      <c r="P9" s="2"/>
      <c r="Q9" s="2"/>
      <c r="R9" s="2"/>
      <c r="S9" s="2"/>
    </row>
    <row r="10" spans="1:19" x14ac:dyDescent="0.25">
      <c r="A10" s="459" t="s">
        <v>226</v>
      </c>
      <c r="B10" s="98">
        <v>0</v>
      </c>
      <c r="C10" s="351">
        <v>0</v>
      </c>
      <c r="D10" s="351">
        <v>0</v>
      </c>
      <c r="E10" s="351">
        <v>1.80433954</v>
      </c>
      <c r="F10" s="297">
        <f>(Table505473[[#This Row],[Column2]]/E9)-1</f>
        <v>-0.46085115128988963</v>
      </c>
      <c r="L10" s="2"/>
      <c r="M10" s="2"/>
      <c r="N10" s="2"/>
      <c r="O10" s="2"/>
      <c r="P10" s="2"/>
      <c r="Q10" s="2"/>
      <c r="R10" s="2"/>
      <c r="S10" s="2"/>
    </row>
    <row r="11" spans="1:19" x14ac:dyDescent="0.25">
      <c r="A11" s="459" t="s">
        <v>227</v>
      </c>
      <c r="B11" s="98">
        <v>0</v>
      </c>
      <c r="C11" s="351">
        <v>5.0000000000000002E-5</v>
      </c>
      <c r="D11" s="351">
        <v>5.0000000000000002E-5</v>
      </c>
      <c r="E11" s="351">
        <v>0.71785747999999994</v>
      </c>
      <c r="F11" s="297">
        <f>(Table505473[[#This Row],[Column2]]/E10)-1</f>
        <v>-0.6021494490998075</v>
      </c>
      <c r="L11" s="2"/>
      <c r="M11" s="2"/>
      <c r="N11" s="2"/>
      <c r="O11" s="2"/>
      <c r="P11" s="2"/>
      <c r="Q11" s="2"/>
      <c r="R11" s="2"/>
      <c r="S11" s="2"/>
    </row>
    <row r="12" spans="1:19" x14ac:dyDescent="0.25">
      <c r="A12" s="459" t="s">
        <v>228</v>
      </c>
      <c r="B12" s="98">
        <v>0</v>
      </c>
      <c r="C12" s="351">
        <v>0.87646438000000004</v>
      </c>
      <c r="D12" s="351">
        <v>0.87646438000000004</v>
      </c>
      <c r="E12" s="351">
        <v>5.4980010300000002</v>
      </c>
      <c r="F12" s="297">
        <f>(Table505473[[#This Row],[Column2]]/E11)-1</f>
        <v>6.6589033104454112</v>
      </c>
      <c r="L12" s="2"/>
      <c r="M12" s="2"/>
      <c r="N12" s="2"/>
      <c r="O12" s="2"/>
      <c r="P12" s="2"/>
      <c r="Q12" s="2"/>
      <c r="R12" s="2"/>
      <c r="S12" s="2"/>
    </row>
    <row r="13" spans="1:19" x14ac:dyDescent="0.25">
      <c r="A13" s="459" t="s">
        <v>229</v>
      </c>
      <c r="B13" s="98">
        <v>0</v>
      </c>
      <c r="C13" s="351">
        <v>0</v>
      </c>
      <c r="D13" s="351">
        <v>0</v>
      </c>
      <c r="E13" s="351">
        <v>1.46530509</v>
      </c>
      <c r="F13" s="297">
        <f>(Table505473[[#This Row],[Column2]]/E12)-1</f>
        <v>-0.73348402773944188</v>
      </c>
      <c r="L13" s="2"/>
      <c r="M13" s="2"/>
      <c r="N13" s="2"/>
      <c r="O13" s="2"/>
      <c r="P13" s="2"/>
      <c r="Q13" s="2"/>
      <c r="R13" s="2"/>
      <c r="S13" s="2"/>
    </row>
    <row r="14" spans="1:19" x14ac:dyDescent="0.25">
      <c r="A14" s="459" t="s">
        <v>230</v>
      </c>
      <c r="B14" s="98">
        <v>1.0000000000000001E-5</v>
      </c>
      <c r="C14" s="351">
        <v>0</v>
      </c>
      <c r="D14" s="351">
        <v>1.0000000000000001E-5</v>
      </c>
      <c r="E14" s="351">
        <v>2.00030653</v>
      </c>
      <c r="F14" s="297">
        <f>(Table505473[[#This Row],[Column2]]/E13)-1</f>
        <v>0.36511266059957515</v>
      </c>
      <c r="L14" s="2"/>
      <c r="M14" s="2"/>
      <c r="N14" s="2"/>
      <c r="O14" s="2"/>
      <c r="P14" s="2"/>
      <c r="Q14" s="2"/>
      <c r="R14" s="2"/>
      <c r="S14" s="2"/>
    </row>
    <row r="15" spans="1:19" x14ac:dyDescent="0.25">
      <c r="A15" s="459" t="s">
        <v>231</v>
      </c>
      <c r="B15" s="98">
        <v>0</v>
      </c>
      <c r="C15" s="351">
        <v>0</v>
      </c>
      <c r="D15" s="351">
        <v>0</v>
      </c>
      <c r="E15" s="351">
        <v>0.58126685</v>
      </c>
      <c r="F15" s="297">
        <f>(Table505473[[#This Row],[Column2]]/E14)-1</f>
        <v>-0.70941111210590302</v>
      </c>
      <c r="L15" s="2"/>
      <c r="M15" s="2"/>
      <c r="N15" s="2"/>
      <c r="O15" s="2"/>
      <c r="P15" s="2"/>
      <c r="Q15" s="2"/>
      <c r="R15" s="2"/>
      <c r="S15" s="2"/>
    </row>
    <row r="16" spans="1:19" x14ac:dyDescent="0.25">
      <c r="A16" s="459" t="s">
        <v>232</v>
      </c>
      <c r="B16" s="98">
        <v>0</v>
      </c>
      <c r="C16" s="351">
        <v>0</v>
      </c>
      <c r="D16" s="351">
        <v>0</v>
      </c>
      <c r="E16" s="351">
        <v>3.3492183900000003</v>
      </c>
      <c r="F16" s="297">
        <f>(Table505473[[#This Row],[Column2]]/E15)-1</f>
        <v>4.7619291208504331</v>
      </c>
      <c r="L16" s="2"/>
      <c r="M16" s="2"/>
      <c r="N16" s="2"/>
      <c r="O16" s="2"/>
      <c r="P16" s="2"/>
      <c r="Q16" s="2"/>
      <c r="R16" s="2"/>
      <c r="S16" s="2"/>
    </row>
    <row r="17" spans="1:19" x14ac:dyDescent="0.25">
      <c r="A17" s="459" t="s">
        <v>221</v>
      </c>
      <c r="B17" s="98">
        <v>0</v>
      </c>
      <c r="C17" s="351">
        <v>1.0000000000000001E-5</v>
      </c>
      <c r="D17" s="351">
        <v>1.0000000000000001E-5</v>
      </c>
      <c r="E17" s="351">
        <v>0.23412470000000002</v>
      </c>
      <c r="F17" s="297">
        <f>(Table505473[[#This Row],[Column2]]/E16)-1</f>
        <v>-0.9300957200345481</v>
      </c>
      <c r="G17" s="2"/>
      <c r="L17" s="2"/>
      <c r="M17" s="2"/>
      <c r="N17" s="2"/>
      <c r="O17" s="2"/>
      <c r="P17" s="2"/>
      <c r="Q17" s="2"/>
      <c r="R17" s="2"/>
      <c r="S17" s="2"/>
    </row>
    <row r="18" spans="1:19" ht="13" x14ac:dyDescent="0.3">
      <c r="A18" s="471" t="s">
        <v>430</v>
      </c>
      <c r="B18" s="565">
        <f>AVERAGE(B5:B17)</f>
        <v>7.6923076923076925E-7</v>
      </c>
      <c r="C18" s="565">
        <f>AVERAGE(C5:C17)</f>
        <v>0.16260071384615388</v>
      </c>
      <c r="D18" s="566">
        <f>Table505473[[#This Row],[Column3]]+Table505473[[#This Row],[Column4]]</f>
        <v>0.1626014830769231</v>
      </c>
      <c r="E18" s="565">
        <f>AVERAGE(E5:E17)</f>
        <v>1.9621461061538459</v>
      </c>
      <c r="F18" s="177"/>
      <c r="H18" s="4"/>
      <c r="N18" s="4"/>
      <c r="O18" s="4"/>
      <c r="P18" s="4"/>
    </row>
    <row r="19" spans="1:19" x14ac:dyDescent="0.25">
      <c r="A19" s="563"/>
      <c r="B19" s="564"/>
      <c r="C19" s="2"/>
      <c r="D19" s="2"/>
      <c r="E19" s="16"/>
      <c r="F19" s="16"/>
      <c r="P19" s="14"/>
    </row>
    <row r="20" spans="1:19" ht="13" customHeight="1" x14ac:dyDescent="0.3">
      <c r="A20" s="128" t="s">
        <v>697</v>
      </c>
      <c r="B20" s="128"/>
      <c r="C20" s="128"/>
      <c r="D20" s="128"/>
      <c r="E20" s="128"/>
      <c r="F20" s="2"/>
    </row>
    <row r="21" spans="1:19" ht="13" customHeight="1" x14ac:dyDescent="0.3">
      <c r="A21" s="44" t="s">
        <v>433</v>
      </c>
      <c r="B21" s="349" t="s">
        <v>297</v>
      </c>
      <c r="C21" s="349" t="s">
        <v>431</v>
      </c>
      <c r="D21" s="44" t="s">
        <v>433</v>
      </c>
      <c r="E21" s="349" t="s">
        <v>432</v>
      </c>
      <c r="F21" s="349" t="s">
        <v>431</v>
      </c>
    </row>
    <row r="22" spans="1:19" ht="13" customHeight="1" x14ac:dyDescent="0.25">
      <c r="A22" s="462" t="s">
        <v>696</v>
      </c>
      <c r="B22" s="463">
        <v>1.0000000000000001E-5</v>
      </c>
      <c r="C22" s="464">
        <f>(B22/$B$25)*100</f>
        <v>100</v>
      </c>
      <c r="D22" s="464" t="s">
        <v>235</v>
      </c>
      <c r="E22" s="464">
        <v>0.22658554</v>
      </c>
      <c r="F22" s="474">
        <f>(E22/$E$25)*100</f>
        <v>96.779852787851951</v>
      </c>
      <c r="J22" s="13"/>
    </row>
    <row r="23" spans="1:19" ht="13" customHeight="1" x14ac:dyDescent="0.25">
      <c r="A23" s="465" t="s">
        <v>245</v>
      </c>
      <c r="B23" s="466">
        <v>0</v>
      </c>
      <c r="C23" s="467">
        <f>(B23/$B$25)*100</f>
        <v>0</v>
      </c>
      <c r="D23" s="467" t="s">
        <v>245</v>
      </c>
      <c r="E23" s="467">
        <v>4.1578000000000006E-3</v>
      </c>
      <c r="F23" s="475">
        <f>(E23/$E$25)*100</f>
        <v>1.7758912237794646</v>
      </c>
      <c r="J23" s="13"/>
      <c r="Q23" s="4"/>
    </row>
    <row r="24" spans="1:19" ht="13" customHeight="1" x14ac:dyDescent="0.25">
      <c r="A24" s="468" t="s">
        <v>235</v>
      </c>
      <c r="B24" s="469">
        <v>0</v>
      </c>
      <c r="C24" s="470">
        <f>(B24/$B$25)*100</f>
        <v>0</v>
      </c>
      <c r="D24" s="470" t="s">
        <v>696</v>
      </c>
      <c r="E24" s="470">
        <v>3.3813599999999999E-3</v>
      </c>
      <c r="F24" s="476">
        <f>(E24/$E$25)*100</f>
        <v>1.4442559883685917</v>
      </c>
      <c r="J24" s="13"/>
      <c r="Q24" s="4"/>
    </row>
    <row r="25" spans="1:19" s="3" customFormat="1" ht="13" x14ac:dyDescent="0.3">
      <c r="A25" s="471" t="s">
        <v>217</v>
      </c>
      <c r="B25" s="472">
        <f t="shared" ref="B25:E25" si="0">SUM(B22:B24)</f>
        <v>1.0000000000000001E-5</v>
      </c>
      <c r="C25" s="473">
        <f t="shared" si="0"/>
        <v>100</v>
      </c>
      <c r="D25" s="473" t="s">
        <v>217</v>
      </c>
      <c r="E25" s="473">
        <f t="shared" si="0"/>
        <v>0.23412469999999999</v>
      </c>
      <c r="F25" s="471">
        <f>SUM(F22:F24)</f>
        <v>100.00000000000001</v>
      </c>
    </row>
    <row r="28" spans="1:19" x14ac:dyDescent="0.25">
      <c r="B28" s="13"/>
    </row>
    <row r="29" spans="1:19" x14ac:dyDescent="0.25">
      <c r="D29" s="2"/>
    </row>
    <row r="32" spans="1:19" x14ac:dyDescent="0.25">
      <c r="H32" s="1"/>
    </row>
    <row r="33" spans="5:9" x14ac:dyDescent="0.25">
      <c r="E33" s="14"/>
      <c r="H33" s="1"/>
      <c r="I33" s="14"/>
    </row>
    <row r="34" spans="5:9" x14ac:dyDescent="0.25">
      <c r="E34" s="14"/>
      <c r="H34" s="1"/>
      <c r="I34" s="14"/>
    </row>
    <row r="35" spans="5:9" x14ac:dyDescent="0.25">
      <c r="E35" s="14"/>
      <c r="H35" s="1"/>
      <c r="I35" s="14"/>
    </row>
  </sheetData>
  <sortState xmlns:xlrd2="http://schemas.microsoft.com/office/spreadsheetml/2017/richdata2" ref="A22:C24">
    <sortCondition descending="1" ref="C22:C24"/>
  </sortState>
  <mergeCells count="1">
    <mergeCell ref="A3:F3"/>
  </mergeCells>
  <phoneticPr fontId="4" type="noConversion"/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15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10.54296875" style="40" customWidth="1"/>
    <col min="2" max="2" width="14" style="40" bestFit="1" customWidth="1"/>
    <col min="3" max="3" width="13.7265625" style="40" bestFit="1" customWidth="1"/>
    <col min="4" max="4" width="18.54296875" style="40" bestFit="1" customWidth="1"/>
    <col min="5" max="5" width="19.08984375" style="40" bestFit="1" customWidth="1"/>
    <col min="6" max="8" width="8.81640625" style="40"/>
    <col min="9" max="9" width="9.7265625" style="40" bestFit="1" customWidth="1"/>
    <col min="10" max="11" width="8.81640625" style="40"/>
    <col min="12" max="13" width="10.1796875" style="40" bestFit="1" customWidth="1"/>
    <col min="14" max="15" width="11.1796875" style="40" bestFit="1" customWidth="1"/>
    <col min="16" max="16" width="9.1796875" style="40" bestFit="1" customWidth="1"/>
    <col min="17" max="16384" width="8.81640625" style="40"/>
  </cols>
  <sheetData>
    <row r="1" spans="1:15" ht="13" x14ac:dyDescent="0.3">
      <c r="A1" s="584" t="s">
        <v>716</v>
      </c>
      <c r="B1" s="585"/>
      <c r="C1" s="585"/>
      <c r="D1" s="585"/>
      <c r="G1" s="202" t="s">
        <v>239</v>
      </c>
    </row>
    <row r="2" spans="1:15" ht="13" x14ac:dyDescent="0.3">
      <c r="A2" s="201" t="s">
        <v>220</v>
      </c>
      <c r="B2" s="200" t="s">
        <v>243</v>
      </c>
      <c r="C2" s="199" t="s">
        <v>219</v>
      </c>
      <c r="D2" s="199" t="s">
        <v>473</v>
      </c>
      <c r="E2" s="199" t="s">
        <v>474</v>
      </c>
    </row>
    <row r="3" spans="1:15" x14ac:dyDescent="0.25">
      <c r="A3" s="508" t="s">
        <v>221</v>
      </c>
      <c r="B3" s="507">
        <v>11437.551189810001</v>
      </c>
      <c r="C3" s="507">
        <v>11244.308151029974</v>
      </c>
      <c r="D3" s="509">
        <f>SUM(B3)</f>
        <v>11437.551189810001</v>
      </c>
      <c r="E3" s="509">
        <f>C3</f>
        <v>11244.308151029974</v>
      </c>
      <c r="L3" s="18"/>
      <c r="M3" s="18"/>
      <c r="N3" s="18"/>
      <c r="O3" s="18"/>
    </row>
    <row r="4" spans="1:15" x14ac:dyDescent="0.25">
      <c r="L4" s="18"/>
      <c r="M4" s="18"/>
      <c r="N4" s="18"/>
      <c r="O4" s="18"/>
    </row>
    <row r="5" spans="1:15" x14ac:dyDescent="0.25">
      <c r="L5" s="18"/>
      <c r="M5" s="18"/>
      <c r="N5" s="18"/>
      <c r="O5" s="18"/>
    </row>
    <row r="6" spans="1:15" x14ac:dyDescent="0.25">
      <c r="L6" s="18"/>
      <c r="M6" s="18"/>
      <c r="N6" s="18"/>
      <c r="O6" s="18"/>
    </row>
    <row r="7" spans="1:15" x14ac:dyDescent="0.25">
      <c r="L7" s="18"/>
      <c r="M7" s="18"/>
      <c r="N7" s="18"/>
      <c r="O7" s="18"/>
    </row>
    <row r="8" spans="1:15" x14ac:dyDescent="0.25">
      <c r="L8" s="18"/>
      <c r="M8" s="18"/>
      <c r="N8" s="18"/>
      <c r="O8" s="18"/>
    </row>
    <row r="9" spans="1:15" x14ac:dyDescent="0.25">
      <c r="L9" s="18"/>
      <c r="M9" s="18"/>
      <c r="N9" s="18"/>
      <c r="O9" s="18"/>
    </row>
    <row r="10" spans="1:15" x14ac:dyDescent="0.25">
      <c r="L10" s="18"/>
      <c r="M10" s="18"/>
      <c r="N10" s="18"/>
      <c r="O10" s="18"/>
    </row>
    <row r="11" spans="1:15" x14ac:dyDescent="0.25">
      <c r="L11" s="18"/>
      <c r="M11" s="18"/>
      <c r="N11" s="18"/>
      <c r="O11" s="18"/>
    </row>
    <row r="12" spans="1:15" x14ac:dyDescent="0.25">
      <c r="L12" s="18"/>
      <c r="M12" s="18"/>
      <c r="N12" s="18"/>
      <c r="O12" s="18"/>
    </row>
    <row r="13" spans="1:15" x14ac:dyDescent="0.25">
      <c r="L13" s="18"/>
      <c r="M13" s="18"/>
      <c r="N13" s="18"/>
      <c r="O13" s="18"/>
    </row>
    <row r="14" spans="1:15" x14ac:dyDescent="0.25">
      <c r="L14" s="18"/>
      <c r="M14" s="18"/>
      <c r="N14" s="18"/>
      <c r="O14" s="18"/>
    </row>
    <row r="15" spans="1:15" x14ac:dyDescent="0.25">
      <c r="L15" s="18"/>
      <c r="M15" s="18"/>
      <c r="N15" s="18"/>
      <c r="O15" s="18"/>
    </row>
  </sheetData>
  <mergeCells count="1">
    <mergeCell ref="A1:D1"/>
  </mergeCells>
  <phoneticPr fontId="4" type="noConversion"/>
  <hyperlinks>
    <hyperlink ref="G1" location="'Table of Content'!A1" display="Table of Content" xr:uid="{849CFE2F-DF8B-4BE6-8458-C97EB09DAE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7"/>
  <sheetViews>
    <sheetView zoomScale="90" zoomScaleNormal="90" workbookViewId="0">
      <selection activeCell="I1" sqref="I1"/>
    </sheetView>
  </sheetViews>
  <sheetFormatPr defaultColWidth="8.81640625" defaultRowHeight="12.5" x14ac:dyDescent="0.25"/>
  <cols>
    <col min="1" max="1" width="54.453125" style="40" customWidth="1"/>
    <col min="2" max="2" width="17.453125" style="40" bestFit="1" customWidth="1"/>
    <col min="3" max="3" width="11.81640625" style="40" customWidth="1"/>
    <col min="4" max="4" width="13.81640625" style="40" bestFit="1" customWidth="1"/>
    <col min="5" max="5" width="14.453125" style="40" customWidth="1"/>
    <col min="6" max="6" width="14.81640625" style="40" bestFit="1" customWidth="1"/>
    <col min="7" max="7" width="12.7265625" style="40" customWidth="1"/>
    <col min="8" max="8" width="11.81640625" style="40" customWidth="1"/>
    <col min="9" max="9" width="8.81640625" style="40"/>
    <col min="10" max="10" width="8.81640625" style="40" customWidth="1"/>
    <col min="11" max="16384" width="8.81640625" style="40"/>
  </cols>
  <sheetData>
    <row r="1" spans="1:11" ht="13" x14ac:dyDescent="0.3">
      <c r="A1" s="589" t="s">
        <v>479</v>
      </c>
      <c r="B1" s="589"/>
      <c r="C1" s="589"/>
      <c r="D1" s="589"/>
      <c r="E1" s="589"/>
      <c r="F1" s="589"/>
      <c r="G1" s="589"/>
      <c r="H1" s="589"/>
      <c r="J1" s="588" t="s">
        <v>239</v>
      </c>
      <c r="K1" s="588"/>
    </row>
    <row r="2" spans="1:11" ht="14.5" customHeight="1" x14ac:dyDescent="0.3">
      <c r="A2" s="586" t="s">
        <v>478</v>
      </c>
      <c r="B2" s="590">
        <v>2025</v>
      </c>
      <c r="C2" s="590"/>
      <c r="D2" s="590"/>
      <c r="E2" s="590"/>
      <c r="F2" s="590">
        <v>2026</v>
      </c>
      <c r="G2" s="590"/>
      <c r="H2" s="586" t="s">
        <v>477</v>
      </c>
    </row>
    <row r="3" spans="1:11" ht="14.5" customHeight="1" x14ac:dyDescent="0.3">
      <c r="A3" s="587"/>
      <c r="B3" s="207" t="s">
        <v>221</v>
      </c>
      <c r="C3" s="309" t="s">
        <v>476</v>
      </c>
      <c r="D3" s="207" t="s">
        <v>232</v>
      </c>
      <c r="E3" s="207" t="s">
        <v>475</v>
      </c>
      <c r="F3" s="207" t="s">
        <v>221</v>
      </c>
      <c r="G3" s="207" t="s">
        <v>475</v>
      </c>
      <c r="H3" s="587"/>
    </row>
    <row r="4" spans="1:11" ht="14.5" x14ac:dyDescent="0.35">
      <c r="A4" s="510" t="s">
        <v>717</v>
      </c>
      <c r="B4" s="504">
        <v>3536.3638819900007</v>
      </c>
      <c r="C4" s="206">
        <f t="shared" ref="C4:C10" si="0">(B4/$B$12)*100</f>
        <v>34.876966166342058</v>
      </c>
      <c r="D4" s="504">
        <v>4675.5069119499967</v>
      </c>
      <c r="E4" s="206">
        <f t="shared" ref="E4:E10" si="1">(D4/$D$12)*100</f>
        <v>43.633652621466403</v>
      </c>
      <c r="F4" s="504">
        <v>5720.8508114199994</v>
      </c>
      <c r="G4" s="206">
        <f>(F4/$F$12)*100</f>
        <v>50.018143888325064</v>
      </c>
      <c r="H4" s="205">
        <f>F4-D4</f>
        <v>1045.3438994700027</v>
      </c>
    </row>
    <row r="5" spans="1:11" ht="14.5" x14ac:dyDescent="0.35">
      <c r="A5" s="511" t="s">
        <v>718</v>
      </c>
      <c r="B5" s="505">
        <v>6122.359780799984</v>
      </c>
      <c r="C5" s="204">
        <f t="shared" si="0"/>
        <v>60.381041674075718</v>
      </c>
      <c r="D5" s="505">
        <v>4914.128741240007</v>
      </c>
      <c r="E5" s="204">
        <f t="shared" si="1"/>
        <v>45.860564527109752</v>
      </c>
      <c r="F5" s="505">
        <v>4888.2730893899979</v>
      </c>
      <c r="G5" s="204">
        <f>(F5/$F$12)*100</f>
        <v>42.738808406340368</v>
      </c>
      <c r="H5" s="51">
        <f t="shared" ref="H5:H10" si="2">F5-D5</f>
        <v>-25.855651850009053</v>
      </c>
    </row>
    <row r="6" spans="1:11" ht="14.5" x14ac:dyDescent="0.35">
      <c r="A6" s="511" t="s">
        <v>719</v>
      </c>
      <c r="B6" s="505">
        <v>397.71580002000002</v>
      </c>
      <c r="C6" s="204">
        <f t="shared" si="0"/>
        <v>3.9224245479262101</v>
      </c>
      <c r="D6" s="505">
        <v>1078.7331415999993</v>
      </c>
      <c r="E6" s="204">
        <f t="shared" si="1"/>
        <v>10.067158076814088</v>
      </c>
      <c r="F6" s="505">
        <v>767.8598364099995</v>
      </c>
      <c r="G6" s="204">
        <f>(F6/$F$12)*100</f>
        <v>6.7134985773362494</v>
      </c>
      <c r="H6" s="51">
        <f t="shared" si="2"/>
        <v>-310.87330518999977</v>
      </c>
    </row>
    <row r="7" spans="1:11" ht="14.5" x14ac:dyDescent="0.35">
      <c r="A7" s="511" t="s">
        <v>720</v>
      </c>
      <c r="B7" s="505">
        <v>77.932809999999989</v>
      </c>
      <c r="C7" s="204">
        <f t="shared" si="0"/>
        <v>0.76860302511868295</v>
      </c>
      <c r="D7" s="505">
        <v>39.540569860000005</v>
      </c>
      <c r="E7" s="204">
        <f t="shared" si="1"/>
        <v>0.36900800752030127</v>
      </c>
      <c r="F7" s="505">
        <v>57.541958900000004</v>
      </c>
      <c r="G7" s="204">
        <f t="shared" ref="G7:G10" si="3">(F7/$F$12)*100</f>
        <v>0.50309684254148368</v>
      </c>
      <c r="H7" s="51">
        <f t="shared" si="2"/>
        <v>18.001389039999999</v>
      </c>
    </row>
    <row r="8" spans="1:11" ht="14.5" x14ac:dyDescent="0.35">
      <c r="A8" s="511" t="s">
        <v>721</v>
      </c>
      <c r="B8" s="505">
        <v>4.893110720000001</v>
      </c>
      <c r="C8" s="204">
        <f t="shared" si="0"/>
        <v>4.825771971564554E-2</v>
      </c>
      <c r="D8" s="505">
        <v>7.0692767000000005</v>
      </c>
      <c r="E8" s="204">
        <f t="shared" si="1"/>
        <v>6.5973245173576014E-2</v>
      </c>
      <c r="F8" s="505">
        <v>2.90089978</v>
      </c>
      <c r="G8" s="204">
        <f t="shared" si="3"/>
        <v>2.5362944671097822E-2</v>
      </c>
      <c r="H8" s="51">
        <f t="shared" si="2"/>
        <v>-4.16837692</v>
      </c>
    </row>
    <row r="9" spans="1:11" ht="14.5" x14ac:dyDescent="0.35">
      <c r="A9" s="511" t="s">
        <v>722</v>
      </c>
      <c r="B9" s="505">
        <v>0.26574190000000003</v>
      </c>
      <c r="C9" s="204">
        <f t="shared" si="0"/>
        <v>2.6208477307668823E-3</v>
      </c>
      <c r="D9" s="505">
        <v>0.37712597999999992</v>
      </c>
      <c r="E9" s="204">
        <f t="shared" si="1"/>
        <v>3.5194866173317448E-3</v>
      </c>
      <c r="F9" s="505">
        <v>0.12057490999999999</v>
      </c>
      <c r="G9" s="204">
        <f t="shared" si="3"/>
        <v>1.0542021451884144E-3</v>
      </c>
      <c r="H9" s="51">
        <f t="shared" si="2"/>
        <v>-0.25655106999999994</v>
      </c>
    </row>
    <row r="10" spans="1:11" ht="14.5" x14ac:dyDescent="0.35">
      <c r="A10" s="511" t="s">
        <v>723</v>
      </c>
      <c r="B10" s="505">
        <v>8.7219400000000009E-3</v>
      </c>
      <c r="C10" s="204">
        <f t="shared" si="0"/>
        <v>8.6019090918236458E-5</v>
      </c>
      <c r="D10" s="505">
        <v>1.4420000000000001E-3</v>
      </c>
      <c r="E10" s="204">
        <f t="shared" si="1"/>
        <v>1.345730597025529E-5</v>
      </c>
      <c r="F10" s="505">
        <v>4.019E-3</v>
      </c>
      <c r="G10" s="204">
        <f t="shared" si="3"/>
        <v>3.5138640547293275E-5</v>
      </c>
      <c r="H10" s="51">
        <f t="shared" si="2"/>
        <v>2.5769999999999999E-3</v>
      </c>
    </row>
    <row r="11" spans="1:11" ht="14.5" x14ac:dyDescent="0.35">
      <c r="A11" s="512" t="s">
        <v>724</v>
      </c>
      <c r="B11" s="505"/>
      <c r="C11" s="204"/>
      <c r="D11" s="505">
        <v>1.1848839999999999E-2</v>
      </c>
      <c r="E11" s="204"/>
      <c r="F11" s="505"/>
      <c r="G11" s="204"/>
      <c r="H11" s="51"/>
    </row>
    <row r="12" spans="1:11" ht="13" x14ac:dyDescent="0.3">
      <c r="A12" s="203" t="s">
        <v>312</v>
      </c>
      <c r="B12" s="513">
        <f t="shared" ref="B12:H12" si="4">SUM(B4:B11)</f>
        <v>10139.539847369984</v>
      </c>
      <c r="C12" s="514">
        <f t="shared" si="4"/>
        <v>100</v>
      </c>
      <c r="D12" s="513">
        <f t="shared" si="4"/>
        <v>10715.369058170005</v>
      </c>
      <c r="E12" s="514">
        <f t="shared" si="4"/>
        <v>99.999889422007428</v>
      </c>
      <c r="F12" s="513">
        <f t="shared" si="4"/>
        <v>11437.551189809998</v>
      </c>
      <c r="G12" s="514">
        <f t="shared" si="4"/>
        <v>100</v>
      </c>
      <c r="H12" s="515">
        <f t="shared" si="4"/>
        <v>722.19398047999391</v>
      </c>
    </row>
    <row r="16" spans="1:11" ht="14.5" x14ac:dyDescent="0.35">
      <c r="B16" s="213"/>
      <c r="C16" s="213"/>
      <c r="D16" s="213"/>
      <c r="E16" s="213"/>
      <c r="F16" s="213"/>
    </row>
    <row r="17" spans="2:6" x14ac:dyDescent="0.25">
      <c r="B17" s="18"/>
      <c r="C17" s="18"/>
      <c r="D17" s="18"/>
      <c r="E17" s="18"/>
      <c r="F17" s="18"/>
    </row>
  </sheetData>
  <mergeCells count="6">
    <mergeCell ref="H2:H3"/>
    <mergeCell ref="A2:A3"/>
    <mergeCell ref="J1:K1"/>
    <mergeCell ref="A1:H1"/>
    <mergeCell ref="B2:E2"/>
    <mergeCell ref="F2:G2"/>
  </mergeCells>
  <hyperlinks>
    <hyperlink ref="J1:K1" location="'Table of Content'!A1" display="Table of Content" xr:uid="{4F9A36C0-B7E0-47B5-8ED3-CBD7AAE2679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N22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20" customWidth="1"/>
    <col min="2" max="2" width="12.81640625" style="20" customWidth="1"/>
    <col min="3" max="3" width="12.7265625" style="20" customWidth="1"/>
    <col min="4" max="4" width="14.7265625" style="20" customWidth="1"/>
    <col min="5" max="5" width="13.1796875" style="20" customWidth="1"/>
    <col min="6" max="6" width="12.7265625" style="20" customWidth="1"/>
    <col min="7" max="7" width="12" style="20" customWidth="1"/>
    <col min="8" max="8" width="11.54296875" style="20" customWidth="1"/>
    <col min="9" max="9" width="8.81640625" style="20"/>
    <col min="10" max="10" width="9.1796875" style="20" bestFit="1" customWidth="1"/>
    <col min="11" max="11" width="8.90625" style="20" bestFit="1" customWidth="1"/>
    <col min="12" max="12" width="9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4" ht="13" x14ac:dyDescent="0.3">
      <c r="A1" s="583" t="s">
        <v>480</v>
      </c>
      <c r="B1" s="583"/>
      <c r="C1" s="583"/>
      <c r="D1" s="583"/>
      <c r="E1" s="583"/>
      <c r="F1" s="583"/>
      <c r="G1" s="583"/>
      <c r="J1" s="208" t="s">
        <v>239</v>
      </c>
    </row>
    <row r="2" spans="1:14" ht="13" x14ac:dyDescent="0.3">
      <c r="A2" s="591" t="s">
        <v>478</v>
      </c>
      <c r="B2" s="590">
        <v>2025</v>
      </c>
      <c r="C2" s="590"/>
      <c r="D2" s="590"/>
      <c r="E2" s="590"/>
      <c r="F2" s="590">
        <v>2026</v>
      </c>
      <c r="G2" s="590"/>
      <c r="H2" s="592" t="s">
        <v>477</v>
      </c>
    </row>
    <row r="3" spans="1:14" ht="13" x14ac:dyDescent="0.3">
      <c r="A3" s="592"/>
      <c r="B3" s="207" t="s">
        <v>221</v>
      </c>
      <c r="C3" s="309" t="s">
        <v>476</v>
      </c>
      <c r="D3" s="207" t="s">
        <v>232</v>
      </c>
      <c r="E3" s="207" t="s">
        <v>475</v>
      </c>
      <c r="F3" s="207" t="s">
        <v>221</v>
      </c>
      <c r="G3" s="207" t="s">
        <v>475</v>
      </c>
      <c r="H3" s="593"/>
    </row>
    <row r="4" spans="1:14" ht="14.5" x14ac:dyDescent="0.35">
      <c r="A4" s="510" t="s">
        <v>717</v>
      </c>
      <c r="B4" s="504">
        <v>877.22094047999997</v>
      </c>
      <c r="C4" s="45">
        <f t="shared" ref="C4:C9" si="0">(B4/$B$10)*100</f>
        <v>28.661910015124882</v>
      </c>
      <c r="D4" s="504">
        <v>1033.2717437399999</v>
      </c>
      <c r="E4" s="45">
        <f t="shared" ref="E4:E9" si="1">(D4/$D$10)*100</f>
        <v>46.548263406332183</v>
      </c>
      <c r="F4" s="504">
        <v>1513.2670783600001</v>
      </c>
      <c r="G4" s="45">
        <f t="shared" ref="G4:G9" si="2">(F4/$F$10)*100</f>
        <v>60.47795399543012</v>
      </c>
      <c r="H4" s="45">
        <f>Table11[[#This Row],[Column6]]-Table11[[#This Row],[Column4]]</f>
        <v>479.99533462000022</v>
      </c>
    </row>
    <row r="5" spans="1:14" ht="14.5" x14ac:dyDescent="0.35">
      <c r="A5" s="511" t="s">
        <v>718</v>
      </c>
      <c r="B5" s="505">
        <v>2144.54103945</v>
      </c>
      <c r="C5" s="46">
        <f t="shared" si="0"/>
        <v>70.069738944928517</v>
      </c>
      <c r="D5" s="505">
        <v>1186.3243805100003</v>
      </c>
      <c r="E5" s="46">
        <f t="shared" si="1"/>
        <v>53.443191574615035</v>
      </c>
      <c r="F5" s="505">
        <v>988.40551933999939</v>
      </c>
      <c r="G5" s="46">
        <f t="shared" si="2"/>
        <v>39.501780209384194</v>
      </c>
      <c r="H5" s="46">
        <f>Table11[[#This Row],[Column6]]-Table11[[#This Row],[Column4]]</f>
        <v>-197.91886117000092</v>
      </c>
    </row>
    <row r="6" spans="1:14" ht="14.5" x14ac:dyDescent="0.35">
      <c r="A6" s="511" t="s">
        <v>719</v>
      </c>
      <c r="B6" s="505">
        <v>2.4542551399999999</v>
      </c>
      <c r="C6" s="46">
        <f t="shared" si="0"/>
        <v>8.0189193771807249E-2</v>
      </c>
      <c r="D6" s="505"/>
      <c r="E6" s="46">
        <f t="shared" si="1"/>
        <v>0</v>
      </c>
      <c r="F6" s="505">
        <v>0.50706472000000002</v>
      </c>
      <c r="G6" s="46">
        <f t="shared" si="2"/>
        <v>2.0264920348429253E-2</v>
      </c>
      <c r="H6" s="46">
        <f>Table11[[#This Row],[Column6]]-Table11[[#This Row],[Column4]]</f>
        <v>0.50706472000000002</v>
      </c>
    </row>
    <row r="7" spans="1:14" ht="14.5" x14ac:dyDescent="0.35">
      <c r="A7" s="511" t="s">
        <v>722</v>
      </c>
      <c r="B7" s="505">
        <v>8.2832600000000006E-3</v>
      </c>
      <c r="C7" s="46">
        <f t="shared" si="0"/>
        <v>2.706433941510499E-4</v>
      </c>
      <c r="D7" s="505">
        <v>0.18968112000000001</v>
      </c>
      <c r="E7" s="46">
        <f t="shared" si="1"/>
        <v>8.5450190527902505E-3</v>
      </c>
      <c r="F7" s="505">
        <v>2.1890000000000002E-5</v>
      </c>
      <c r="G7" s="46">
        <f t="shared" si="2"/>
        <v>8.7483725238686769E-7</v>
      </c>
      <c r="H7" s="46">
        <f>Table11[[#This Row],[Column6]]-Table11[[#This Row],[Column4]]</f>
        <v>-0.18965923000000001</v>
      </c>
    </row>
    <row r="8" spans="1:14" ht="14.5" x14ac:dyDescent="0.35">
      <c r="A8" s="511" t="s">
        <v>720</v>
      </c>
      <c r="B8" s="505">
        <v>36.356271199999995</v>
      </c>
      <c r="C8" s="46">
        <f t="shared" si="0"/>
        <v>1.1878879373874611</v>
      </c>
      <c r="D8" s="505"/>
      <c r="E8" s="46">
        <f t="shared" si="1"/>
        <v>0</v>
      </c>
      <c r="F8" s="505"/>
      <c r="G8" s="46">
        <f t="shared" si="2"/>
        <v>0</v>
      </c>
      <c r="H8" s="46">
        <f>Table11[[#This Row],[Column6]]-Table11[[#This Row],[Column4]]</f>
        <v>0</v>
      </c>
    </row>
    <row r="9" spans="1:14" ht="14.5" x14ac:dyDescent="0.35">
      <c r="A9" s="512" t="s">
        <v>723</v>
      </c>
      <c r="B9" s="506">
        <v>9.9939999999999995E-5</v>
      </c>
      <c r="C9" s="46">
        <f t="shared" si="0"/>
        <v>3.265393191986721E-6</v>
      </c>
      <c r="D9" s="506"/>
      <c r="E9" s="46">
        <f t="shared" si="1"/>
        <v>0</v>
      </c>
      <c r="F9" s="506"/>
      <c r="G9" s="46">
        <f t="shared" si="2"/>
        <v>0</v>
      </c>
      <c r="H9" s="46">
        <f>Table11[[#This Row],[Column6]]-Table11[[#This Row],[Column4]]</f>
        <v>0</v>
      </c>
    </row>
    <row r="10" spans="1:14" ht="13" x14ac:dyDescent="0.3">
      <c r="A10" s="301" t="s">
        <v>217</v>
      </c>
      <c r="B10" s="302">
        <f t="shared" ref="B10:G10" si="3">SUM(B4:B9)</f>
        <v>3060.5808894699999</v>
      </c>
      <c r="C10" s="302">
        <f t="shared" si="3"/>
        <v>100</v>
      </c>
      <c r="D10" s="302">
        <f t="shared" si="3"/>
        <v>2219.7858053700002</v>
      </c>
      <c r="E10" s="302">
        <f t="shared" si="3"/>
        <v>100.00000000000001</v>
      </c>
      <c r="F10" s="302">
        <f t="shared" si="3"/>
        <v>2502.1796843099996</v>
      </c>
      <c r="G10" s="302">
        <f t="shared" si="3"/>
        <v>100</v>
      </c>
      <c r="H10" s="302">
        <f>Table11[[#This Row],[Column6]]-Table11[[#This Row],[Column4]]</f>
        <v>282.39387893999947</v>
      </c>
    </row>
    <row r="16" spans="1:14" x14ac:dyDescent="0.25">
      <c r="J16" s="18"/>
      <c r="K16" s="18"/>
      <c r="L16" s="18"/>
      <c r="M16" s="18"/>
      <c r="N16" s="18"/>
    </row>
    <row r="17" spans="10:14" x14ac:dyDescent="0.25">
      <c r="J17" s="18"/>
      <c r="K17" s="18"/>
      <c r="L17" s="18"/>
      <c r="M17" s="18"/>
      <c r="N17" s="18"/>
    </row>
    <row r="18" spans="10:14" x14ac:dyDescent="0.25">
      <c r="J18" s="18"/>
      <c r="K18" s="18"/>
      <c r="L18" s="18"/>
      <c r="M18" s="18"/>
      <c r="N18" s="18"/>
    </row>
    <row r="19" spans="10:14" x14ac:dyDescent="0.25">
      <c r="J19" s="18"/>
      <c r="K19" s="18"/>
      <c r="L19" s="18"/>
      <c r="M19" s="18"/>
      <c r="N19" s="18"/>
    </row>
    <row r="20" spans="10:14" x14ac:dyDescent="0.25">
      <c r="J20" s="18"/>
      <c r="K20" s="18"/>
      <c r="L20" s="18"/>
      <c r="M20" s="18"/>
      <c r="N20" s="18"/>
    </row>
    <row r="21" spans="10:14" x14ac:dyDescent="0.25">
      <c r="J21" s="18"/>
      <c r="K21" s="18"/>
      <c r="L21" s="18"/>
      <c r="M21" s="18"/>
      <c r="N21" s="18"/>
    </row>
    <row r="22" spans="10:14" x14ac:dyDescent="0.25">
      <c r="J22" s="18"/>
      <c r="K22" s="18"/>
      <c r="L22" s="18"/>
      <c r="M22" s="18"/>
      <c r="N22" s="18"/>
    </row>
  </sheetData>
  <mergeCells count="5">
    <mergeCell ref="A2:A3"/>
    <mergeCell ref="A1:G1"/>
    <mergeCell ref="H2:H3"/>
    <mergeCell ref="B2:E2"/>
    <mergeCell ref="F2:G2"/>
  </mergeCells>
  <hyperlinks>
    <hyperlink ref="J1" location="'Table of Content'!A1" display="Table of Content" xr:uid="{A6639F60-EBA7-40DC-B9AF-F91FC9FAB7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8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4.81640625" style="20" bestFit="1" customWidth="1"/>
    <col min="7" max="7" width="12.1796875" style="20" customWidth="1"/>
    <col min="8" max="8" width="13.1796875" style="20" customWidth="1"/>
    <col min="9" max="9" width="8.81640625" style="20" customWidth="1"/>
    <col min="10" max="10" width="9.1796875" style="20" bestFit="1" customWidth="1"/>
    <col min="11" max="11" width="8.90625" style="20" bestFit="1" customWidth="1"/>
    <col min="12" max="12" width="10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3" ht="13" x14ac:dyDescent="0.3">
      <c r="A1" s="595" t="s">
        <v>481</v>
      </c>
      <c r="B1" s="595"/>
      <c r="C1" s="595"/>
      <c r="D1" s="595"/>
      <c r="E1" s="595"/>
      <c r="F1" s="595"/>
      <c r="G1" s="595"/>
      <c r="J1" s="582" t="s">
        <v>239</v>
      </c>
      <c r="K1" s="582"/>
    </row>
    <row r="2" spans="1:13" ht="14.5" customHeight="1" x14ac:dyDescent="0.3">
      <c r="A2" s="594" t="s">
        <v>478</v>
      </c>
      <c r="B2" s="590">
        <v>2025</v>
      </c>
      <c r="C2" s="590"/>
      <c r="D2" s="590"/>
      <c r="E2" s="590"/>
      <c r="F2" s="590">
        <v>2026</v>
      </c>
      <c r="G2" s="590"/>
      <c r="H2" s="591" t="s">
        <v>241</v>
      </c>
    </row>
    <row r="3" spans="1:13" ht="13" x14ac:dyDescent="0.3">
      <c r="A3" s="592"/>
      <c r="B3" s="207" t="s">
        <v>221</v>
      </c>
      <c r="C3" s="309" t="s">
        <v>476</v>
      </c>
      <c r="D3" s="207" t="s">
        <v>232</v>
      </c>
      <c r="E3" s="207" t="s">
        <v>475</v>
      </c>
      <c r="F3" s="207" t="s">
        <v>221</v>
      </c>
      <c r="G3" s="207" t="s">
        <v>475</v>
      </c>
      <c r="H3" s="592"/>
    </row>
    <row r="4" spans="1:13" ht="14.5" x14ac:dyDescent="0.35">
      <c r="A4" s="510" t="s">
        <v>718</v>
      </c>
      <c r="B4" s="504">
        <v>8669.9283847000206</v>
      </c>
      <c r="C4" s="206">
        <f t="shared" ref="C4:C11" si="0">(B4/$B$14)*100</f>
        <v>66.262689078577026</v>
      </c>
      <c r="D4" s="504">
        <v>8385.8495224410672</v>
      </c>
      <c r="E4" s="206">
        <f t="shared" ref="E4:E11" si="1">D4/$D$14*100</f>
        <v>75.506657160921407</v>
      </c>
      <c r="F4" s="504">
        <v>7884.2948819900412</v>
      </c>
      <c r="G4" s="303">
        <f t="shared" ref="G4:G11" si="2">(F4/$F$14)*100</f>
        <v>70.106608925833541</v>
      </c>
      <c r="H4" s="206">
        <f>((F4/D4)-1)*100</f>
        <v>-5.9809639930794578</v>
      </c>
      <c r="I4" s="34"/>
      <c r="J4" s="40"/>
    </row>
    <row r="5" spans="1:13" ht="14.5" x14ac:dyDescent="0.35">
      <c r="A5" s="511" t="s">
        <v>717</v>
      </c>
      <c r="B5" s="505">
        <v>3834.4890702799999</v>
      </c>
      <c r="C5" s="204">
        <f t="shared" si="0"/>
        <v>29.306304016022938</v>
      </c>
      <c r="D5" s="505">
        <v>2424.1859290699986</v>
      </c>
      <c r="E5" s="204">
        <f t="shared" si="1"/>
        <v>21.827505412634178</v>
      </c>
      <c r="F5" s="505">
        <v>3120.7556303899987</v>
      </c>
      <c r="G5" s="304">
        <f t="shared" si="2"/>
        <v>27.749544861977821</v>
      </c>
      <c r="H5" s="204">
        <f t="shared" ref="H5:H11" si="3">((F5/D5)-1)*100</f>
        <v>28.73416980797461</v>
      </c>
      <c r="J5" s="34"/>
    </row>
    <row r="6" spans="1:13" ht="14.5" x14ac:dyDescent="0.35">
      <c r="A6" s="511" t="s">
        <v>719</v>
      </c>
      <c r="B6" s="505">
        <v>505.58108169000036</v>
      </c>
      <c r="C6" s="204">
        <f t="shared" si="0"/>
        <v>3.86406444592498</v>
      </c>
      <c r="D6" s="505">
        <v>271.07835758000004</v>
      </c>
      <c r="E6" s="204">
        <f t="shared" si="1"/>
        <v>2.4408046620398403</v>
      </c>
      <c r="F6" s="505">
        <v>218.25742484999998</v>
      </c>
      <c r="G6" s="304">
        <f t="shared" si="2"/>
        <v>1.9407300409413808</v>
      </c>
      <c r="H6" s="204">
        <f t="shared" si="3"/>
        <v>-19.48548500940791</v>
      </c>
    </row>
    <row r="7" spans="1:13" ht="14.5" x14ac:dyDescent="0.35">
      <c r="A7" s="511" t="s">
        <v>722</v>
      </c>
      <c r="B7" s="505">
        <v>20.26150633</v>
      </c>
      <c r="C7" s="204">
        <f t="shared" si="0"/>
        <v>0.15485501547829261</v>
      </c>
      <c r="D7" s="505">
        <v>19.415950059999997</v>
      </c>
      <c r="E7" s="204">
        <f t="shared" si="1"/>
        <v>0.17482229805230731</v>
      </c>
      <c r="F7" s="505">
        <v>20.152442020000013</v>
      </c>
      <c r="G7" s="304">
        <f t="shared" si="2"/>
        <v>0.17919413121190517</v>
      </c>
      <c r="H7" s="204">
        <f t="shared" si="3"/>
        <v>3.7932316354547524</v>
      </c>
    </row>
    <row r="8" spans="1:13" ht="14.5" x14ac:dyDescent="0.35">
      <c r="A8" s="511" t="s">
        <v>724</v>
      </c>
      <c r="B8" s="505">
        <v>2.3270368999999995</v>
      </c>
      <c r="C8" s="204">
        <f t="shared" si="0"/>
        <v>1.7785120676566103E-2</v>
      </c>
      <c r="D8" s="505">
        <v>4.0343748000000001</v>
      </c>
      <c r="E8" s="204">
        <f t="shared" si="1"/>
        <v>3.6325735880076628E-2</v>
      </c>
      <c r="F8" s="505">
        <v>1.4750969199999999</v>
      </c>
      <c r="G8" s="304">
        <f t="shared" si="2"/>
        <v>1.3116460564453073E-2</v>
      </c>
      <c r="H8" s="204">
        <f t="shared" si="3"/>
        <v>-63.436790255580618</v>
      </c>
    </row>
    <row r="9" spans="1:13" ht="14.5" x14ac:dyDescent="0.35">
      <c r="A9" s="511" t="s">
        <v>721</v>
      </c>
      <c r="B9" s="505">
        <v>1.0265236900000001</v>
      </c>
      <c r="C9" s="204">
        <f t="shared" si="0"/>
        <v>7.8455342517361627E-3</v>
      </c>
      <c r="D9" s="505">
        <v>1.07938716</v>
      </c>
      <c r="E9" s="204">
        <f t="shared" si="1"/>
        <v>9.7188622352355567E-3</v>
      </c>
      <c r="F9" s="505">
        <v>0.83217518999999984</v>
      </c>
      <c r="G9" s="304">
        <f t="shared" si="2"/>
        <v>7.3996446703659575E-3</v>
      </c>
      <c r="H9" s="204">
        <f t="shared" si="3"/>
        <v>-22.902993398587412</v>
      </c>
    </row>
    <row r="10" spans="1:13" ht="14.5" x14ac:dyDescent="0.35">
      <c r="A10" s="511" t="s">
        <v>720</v>
      </c>
      <c r="B10" s="505">
        <v>48.094902810000008</v>
      </c>
      <c r="C10" s="204">
        <f t="shared" si="0"/>
        <v>0.3675806130979567</v>
      </c>
      <c r="D10" s="505">
        <v>0.38188217000000008</v>
      </c>
      <c r="E10" s="204">
        <f t="shared" si="1"/>
        <v>3.4384883736460286E-3</v>
      </c>
      <c r="F10" s="505">
        <v>0.33666699999999999</v>
      </c>
      <c r="G10" s="304">
        <f t="shared" si="2"/>
        <v>2.9936198557398673E-3</v>
      </c>
      <c r="H10" s="204">
        <f t="shared" si="3"/>
        <v>-11.840084076195566</v>
      </c>
    </row>
    <row r="11" spans="1:13" s="11" customFormat="1" ht="14.5" x14ac:dyDescent="0.35">
      <c r="A11" s="511" t="s">
        <v>725</v>
      </c>
      <c r="B11" s="505">
        <v>2.4657139700000004</v>
      </c>
      <c r="C11" s="204">
        <f t="shared" si="0"/>
        <v>1.8845004353108843E-2</v>
      </c>
      <c r="D11" s="505">
        <v>8.0783579999999994E-2</v>
      </c>
      <c r="E11" s="204">
        <f t="shared" si="1"/>
        <v>7.273798633005143E-4</v>
      </c>
      <c r="F11" s="505">
        <v>4.5372590000000004E-2</v>
      </c>
      <c r="G11" s="304">
        <f t="shared" si="2"/>
        <v>4.0344995598126383E-4</v>
      </c>
      <c r="H11" s="204">
        <f t="shared" si="3"/>
        <v>-43.834390602644731</v>
      </c>
    </row>
    <row r="12" spans="1:13" s="11" customFormat="1" ht="14.5" x14ac:dyDescent="0.35">
      <c r="A12" s="511" t="s">
        <v>723</v>
      </c>
      <c r="B12" s="505">
        <v>1.0983E-3</v>
      </c>
      <c r="C12" s="204"/>
      <c r="D12" s="505"/>
      <c r="E12" s="204"/>
      <c r="F12" s="505">
        <v>9.9697000000000002E-4</v>
      </c>
      <c r="G12" s="304"/>
      <c r="H12" s="204" t="s">
        <v>240</v>
      </c>
    </row>
    <row r="13" spans="1:13" ht="14.5" x14ac:dyDescent="0.35">
      <c r="A13" s="512" t="s">
        <v>726</v>
      </c>
      <c r="B13" s="506">
        <v>2.9802499999999998E-3</v>
      </c>
      <c r="C13" s="204">
        <f>(B13/$B$14)*100</f>
        <v>2.277750984367121E-5</v>
      </c>
      <c r="D13" s="506"/>
      <c r="E13" s="204">
        <f>D13/$D$14*100</f>
        <v>0</v>
      </c>
      <c r="F13" s="506"/>
      <c r="G13" s="304">
        <f>(F13/$F$14)*100</f>
        <v>0</v>
      </c>
      <c r="H13" s="204" t="s">
        <v>240</v>
      </c>
    </row>
    <row r="14" spans="1:13" ht="13" x14ac:dyDescent="0.3">
      <c r="A14" s="359" t="s">
        <v>217</v>
      </c>
      <c r="B14" s="212">
        <f t="shared" ref="B14:G14" si="4">SUM(B4:B13)</f>
        <v>13084.17829892002</v>
      </c>
      <c r="C14" s="211">
        <f t="shared" si="4"/>
        <v>99.999991605892447</v>
      </c>
      <c r="D14" s="212">
        <f t="shared" si="4"/>
        <v>11106.106186861067</v>
      </c>
      <c r="E14" s="211">
        <f t="shared" si="4"/>
        <v>100</v>
      </c>
      <c r="F14" s="212">
        <f t="shared" si="4"/>
        <v>11246.150687920041</v>
      </c>
      <c r="G14" s="211">
        <f t="shared" si="4"/>
        <v>99.999991135011186</v>
      </c>
      <c r="H14" s="305">
        <f>((F14/D14)-1)*100</f>
        <v>1.2609685041968355</v>
      </c>
    </row>
    <row r="15" spans="1:13" x14ac:dyDescent="0.25">
      <c r="F15" s="48"/>
      <c r="G15" s="209"/>
    </row>
    <row r="16" spans="1:13" x14ac:dyDescent="0.25">
      <c r="F16" s="34"/>
      <c r="G16" s="210"/>
      <c r="M16" s="34"/>
    </row>
    <row r="17" spans="6:7" ht="14.5" x14ac:dyDescent="0.35">
      <c r="F17" s="213"/>
      <c r="G17" s="209"/>
    </row>
    <row r="18" spans="6:7" x14ac:dyDescent="0.25">
      <c r="F18" s="43"/>
    </row>
  </sheetData>
  <mergeCells count="6">
    <mergeCell ref="J1:K1"/>
    <mergeCell ref="A2:A3"/>
    <mergeCell ref="A1:G1"/>
    <mergeCell ref="H2:H3"/>
    <mergeCell ref="B2:E2"/>
    <mergeCell ref="F2:G2"/>
  </mergeCells>
  <conditionalFormatting sqref="I11: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{2CE1F76C-4D8B-46E0-8CDC-35CDDE613E9E}</x14:id>
        </ext>
      </extLst>
    </cfRule>
  </conditionalFormatting>
  <hyperlinks>
    <hyperlink ref="J1:K1" location="'Table of Content'!A1" display="Table of Content" xr:uid="{D9134E67-A886-4C35-8E24-682655181061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E1F76C-4D8B-46E0-8CDC-35CDDE613E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I11:I12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C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5.08984375" style="20" customWidth="1"/>
    <col min="2" max="2" width="11.6328125" style="20" customWidth="1"/>
    <col min="3" max="3" width="32.08984375" style="20" customWidth="1"/>
    <col min="4" max="4" width="12.453125" style="20" bestFit="1" customWidth="1"/>
    <col min="5" max="5" width="36" style="20" customWidth="1"/>
    <col min="6" max="6" width="12.453125" style="35" bestFit="1" customWidth="1"/>
    <col min="7" max="7" width="8" style="20" customWidth="1"/>
    <col min="8" max="12" width="8.7265625" style="20"/>
    <col min="13" max="13" width="26.90625" style="20" bestFit="1" customWidth="1"/>
    <col min="14" max="14" width="11.81640625" style="18" bestFit="1" customWidth="1"/>
    <col min="15" max="15" width="23.453125" style="20" customWidth="1"/>
    <col min="16" max="16" width="9" style="20" bestFit="1" customWidth="1"/>
    <col min="17" max="17" width="21.7265625" style="20" bestFit="1" customWidth="1"/>
    <col min="18" max="18" width="8.7265625" style="20"/>
    <col min="19" max="19" width="10.36328125" style="20" bestFit="1" customWidth="1"/>
    <col min="20" max="20" width="11.36328125" style="20" bestFit="1" customWidth="1"/>
    <col min="21" max="16384" width="8.7265625" style="20"/>
  </cols>
  <sheetData>
    <row r="1" spans="1:81" ht="14.5" customHeight="1" x14ac:dyDescent="0.3">
      <c r="A1" s="217" t="s">
        <v>727</v>
      </c>
      <c r="H1" s="596" t="s">
        <v>239</v>
      </c>
      <c r="I1" s="596"/>
    </row>
    <row r="2" spans="1:81" ht="13" x14ac:dyDescent="0.25">
      <c r="A2" s="365" t="s">
        <v>509</v>
      </c>
      <c r="B2" s="214" t="s">
        <v>296</v>
      </c>
      <c r="C2" s="310" t="s">
        <v>654</v>
      </c>
      <c r="D2" s="311" t="s">
        <v>296</v>
      </c>
      <c r="E2" s="216" t="s">
        <v>655</v>
      </c>
      <c r="F2" s="214" t="s">
        <v>296</v>
      </c>
    </row>
    <row r="3" spans="1:81" s="33" customFormat="1" ht="25" x14ac:dyDescent="0.35">
      <c r="A3" s="516" t="s">
        <v>507</v>
      </c>
      <c r="B3" s="517">
        <v>4602.6841546799997</v>
      </c>
      <c r="C3" s="341" t="s">
        <v>511</v>
      </c>
      <c r="D3" s="189">
        <v>1915.2562206099999</v>
      </c>
      <c r="E3" s="361" t="s">
        <v>499</v>
      </c>
      <c r="F3" s="362">
        <v>629.79937304999999</v>
      </c>
      <c r="N3" s="17"/>
      <c r="P3" s="189"/>
      <c r="R3" s="189"/>
    </row>
    <row r="4" spans="1:81" s="30" customFormat="1" x14ac:dyDescent="0.25">
      <c r="A4" s="360" t="s">
        <v>503</v>
      </c>
      <c r="B4" s="518">
        <v>730.23664939000014</v>
      </c>
      <c r="C4" s="360" t="s">
        <v>512</v>
      </c>
      <c r="D4" s="189">
        <v>1716.3218382600005</v>
      </c>
      <c r="E4" s="363" t="s">
        <v>497</v>
      </c>
      <c r="F4" s="364">
        <v>112.52564071000003</v>
      </c>
      <c r="N4" s="18"/>
      <c r="P4" s="189"/>
      <c r="R4" s="189"/>
    </row>
    <row r="5" spans="1:81" s="215" customFormat="1" ht="25" x14ac:dyDescent="0.25">
      <c r="A5" s="341" t="s">
        <v>505</v>
      </c>
      <c r="B5" s="518">
        <v>387.93000734999993</v>
      </c>
      <c r="C5" s="341" t="s">
        <v>510</v>
      </c>
      <c r="D5" s="189">
        <v>508.82619200999989</v>
      </c>
      <c r="E5" s="337" t="s">
        <v>495</v>
      </c>
      <c r="F5" s="364">
        <v>25.534822650000002</v>
      </c>
      <c r="G5" s="33"/>
      <c r="H5" s="33"/>
      <c r="I5" s="33"/>
      <c r="J5" s="33"/>
      <c r="K5" s="33"/>
      <c r="L5" s="33"/>
      <c r="M5" s="33"/>
      <c r="N5" s="18"/>
      <c r="O5" s="33"/>
      <c r="P5" s="189"/>
      <c r="Q5" s="33"/>
      <c r="R5" s="18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</row>
    <row r="6" spans="1:81" ht="13" x14ac:dyDescent="0.3">
      <c r="A6" s="519" t="s">
        <v>217</v>
      </c>
      <c r="B6" s="520">
        <f>SUM(B3:B5)</f>
        <v>5720.8508114199994</v>
      </c>
      <c r="C6" s="36" t="s">
        <v>508</v>
      </c>
      <c r="D6" s="189">
        <v>167.78701932999996</v>
      </c>
      <c r="E6" s="366" t="s">
        <v>217</v>
      </c>
      <c r="F6" s="367">
        <f>SUM(F3:F5)</f>
        <v>767.85983641000007</v>
      </c>
      <c r="N6" s="91"/>
      <c r="P6" s="189"/>
      <c r="R6" s="156"/>
    </row>
    <row r="7" spans="1:81" x14ac:dyDescent="0.25">
      <c r="C7" s="36" t="s">
        <v>502</v>
      </c>
      <c r="D7" s="189">
        <v>114.45782499000001</v>
      </c>
      <c r="E7" s="368"/>
      <c r="F7" s="4"/>
      <c r="P7" s="189"/>
    </row>
    <row r="8" spans="1:81" x14ac:dyDescent="0.25">
      <c r="C8" s="36" t="s">
        <v>504</v>
      </c>
      <c r="D8" s="189">
        <v>99.17203843999998</v>
      </c>
      <c r="E8" s="368"/>
      <c r="F8" s="4"/>
      <c r="P8" s="189"/>
    </row>
    <row r="9" spans="1:81" ht="12.5" customHeight="1" x14ac:dyDescent="0.25">
      <c r="C9" s="36" t="s">
        <v>506</v>
      </c>
      <c r="D9" s="189">
        <v>75.013410999999948</v>
      </c>
      <c r="P9" s="189"/>
    </row>
    <row r="10" spans="1:81" ht="12.5" customHeight="1" x14ac:dyDescent="0.25">
      <c r="C10" s="36" t="s">
        <v>494</v>
      </c>
      <c r="D10" s="189">
        <v>69.871268959999981</v>
      </c>
      <c r="P10" s="189"/>
    </row>
    <row r="11" spans="1:81" ht="12.5" customHeight="1" x14ac:dyDescent="0.25">
      <c r="C11" s="36" t="s">
        <v>498</v>
      </c>
      <c r="D11" s="521">
        <v>46.946455910000005</v>
      </c>
      <c r="P11" s="189"/>
    </row>
    <row r="12" spans="1:81" ht="12.5" customHeight="1" x14ac:dyDescent="0.25">
      <c r="C12" s="36" t="s">
        <v>485</v>
      </c>
      <c r="D12" s="189">
        <v>37.799487179999993</v>
      </c>
      <c r="E12" s="368"/>
      <c r="F12" s="4"/>
      <c r="P12" s="189"/>
    </row>
    <row r="13" spans="1:81" ht="12.5" customHeight="1" x14ac:dyDescent="0.25">
      <c r="C13" s="36" t="s">
        <v>496</v>
      </c>
      <c r="D13" s="189">
        <v>31.795946239999992</v>
      </c>
      <c r="E13" s="368"/>
      <c r="F13" s="4"/>
      <c r="P13" s="189"/>
    </row>
    <row r="14" spans="1:81" ht="12.5" customHeight="1" x14ac:dyDescent="0.25">
      <c r="C14" s="36" t="s">
        <v>500</v>
      </c>
      <c r="D14" s="189">
        <v>28.911457849999998</v>
      </c>
      <c r="E14" s="368"/>
      <c r="F14" s="4"/>
      <c r="P14" s="189"/>
    </row>
    <row r="15" spans="1:81" ht="12.5" customHeight="1" x14ac:dyDescent="0.25">
      <c r="C15" s="36" t="s">
        <v>493</v>
      </c>
      <c r="D15" s="189">
        <v>18.97785239000001</v>
      </c>
      <c r="E15" s="368"/>
      <c r="F15" s="4"/>
      <c r="P15" s="189"/>
    </row>
    <row r="16" spans="1:81" ht="12.5" customHeight="1" x14ac:dyDescent="0.25">
      <c r="C16" s="36" t="s">
        <v>492</v>
      </c>
      <c r="D16" s="189">
        <v>17.417952209999999</v>
      </c>
      <c r="E16" s="368"/>
      <c r="F16" s="4"/>
      <c r="P16" s="189"/>
    </row>
    <row r="17" spans="3:16" ht="12.5" customHeight="1" x14ac:dyDescent="0.25">
      <c r="C17" s="36" t="s">
        <v>489</v>
      </c>
      <c r="D17" s="189">
        <v>14.355956289999995</v>
      </c>
      <c r="E17" s="368"/>
      <c r="F17" s="4"/>
      <c r="P17" s="189"/>
    </row>
    <row r="18" spans="3:16" x14ac:dyDescent="0.25">
      <c r="C18" s="36" t="s">
        <v>491</v>
      </c>
      <c r="D18" s="189">
        <v>10.491964950000002</v>
      </c>
      <c r="E18" s="368"/>
      <c r="F18" s="4"/>
      <c r="P18" s="189"/>
    </row>
    <row r="19" spans="3:16" x14ac:dyDescent="0.25">
      <c r="C19" s="36" t="s">
        <v>488</v>
      </c>
      <c r="D19" s="189">
        <v>4.9883324900000003</v>
      </c>
      <c r="E19" s="368"/>
      <c r="F19" s="4"/>
      <c r="P19" s="189"/>
    </row>
    <row r="20" spans="3:16" x14ac:dyDescent="0.25">
      <c r="C20" s="36" t="s">
        <v>490</v>
      </c>
      <c r="D20" s="189">
        <v>4.190461220000004</v>
      </c>
      <c r="E20" s="368"/>
      <c r="F20" s="4"/>
      <c r="P20" s="189"/>
    </row>
    <row r="21" spans="3:16" x14ac:dyDescent="0.25">
      <c r="C21" s="36" t="s">
        <v>487</v>
      </c>
      <c r="D21" s="189">
        <v>2.9203497100000004</v>
      </c>
      <c r="E21" s="368"/>
      <c r="F21" s="4"/>
      <c r="P21" s="189"/>
    </row>
    <row r="22" spans="3:16" x14ac:dyDescent="0.25">
      <c r="C22" s="36" t="s">
        <v>486</v>
      </c>
      <c r="D22" s="189">
        <v>2.2020495399999995</v>
      </c>
      <c r="E22" s="368"/>
      <c r="F22" s="4"/>
      <c r="P22" s="189"/>
    </row>
    <row r="23" spans="3:16" x14ac:dyDescent="0.25">
      <c r="C23" s="36" t="s">
        <v>483</v>
      </c>
      <c r="D23" s="189">
        <v>0.35271621999999997</v>
      </c>
      <c r="E23" s="368"/>
      <c r="F23" s="4"/>
      <c r="P23" s="189"/>
    </row>
    <row r="24" spans="3:16" x14ac:dyDescent="0.25">
      <c r="C24" s="36" t="s">
        <v>484</v>
      </c>
      <c r="D24" s="189">
        <v>0.21418686000000009</v>
      </c>
      <c r="E24" s="368"/>
      <c r="F24" s="4"/>
      <c r="P24" s="189"/>
    </row>
    <row r="25" spans="3:16" x14ac:dyDescent="0.25">
      <c r="C25" s="36" t="s">
        <v>482</v>
      </c>
      <c r="D25" s="189">
        <v>2.1067299999999998E-3</v>
      </c>
      <c r="E25" s="368"/>
      <c r="F25" s="4"/>
      <c r="P25" s="189"/>
    </row>
    <row r="26" spans="3:16" ht="13" x14ac:dyDescent="0.3">
      <c r="C26" s="369" t="s">
        <v>217</v>
      </c>
      <c r="D26" s="370">
        <f>SUM(D3:D25)</f>
        <v>4888.2730893899998</v>
      </c>
      <c r="E26" s="368"/>
      <c r="F26" s="4"/>
      <c r="P26" s="156"/>
    </row>
  </sheetData>
  <mergeCells count="1">
    <mergeCell ref="H1:I1"/>
  </mergeCells>
  <hyperlinks>
    <hyperlink ref="H1:I1" location="'Table of Content'!A1" display="Table of Content" xr:uid="{3A8445CD-B617-40E9-B05B-371D1527829F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E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3.26953125" style="20" customWidth="1"/>
    <col min="2" max="2" width="12.453125" style="40" bestFit="1" customWidth="1"/>
    <col min="3" max="3" width="37.1796875" style="20" customWidth="1"/>
    <col min="4" max="4" width="12.453125" style="40" bestFit="1" customWidth="1"/>
    <col min="5" max="5" width="37" style="20" customWidth="1"/>
    <col min="6" max="6" width="12.453125" style="218" bestFit="1" customWidth="1"/>
    <col min="7" max="7" width="11" style="20" customWidth="1"/>
    <col min="8" max="16384" width="8.7265625" style="20"/>
  </cols>
  <sheetData>
    <row r="1" spans="1:31" ht="13" x14ac:dyDescent="0.3">
      <c r="A1" s="11" t="s">
        <v>728</v>
      </c>
      <c r="H1" s="596" t="s">
        <v>239</v>
      </c>
      <c r="I1" s="596"/>
    </row>
    <row r="2" spans="1:31" ht="13" x14ac:dyDescent="0.25">
      <c r="A2" s="373" t="s">
        <v>513</v>
      </c>
      <c r="B2" s="221" t="s">
        <v>296</v>
      </c>
      <c r="C2" s="373" t="s">
        <v>516</v>
      </c>
      <c r="D2" s="221" t="s">
        <v>296</v>
      </c>
      <c r="E2" s="373" t="s">
        <v>501</v>
      </c>
      <c r="F2" s="221" t="s">
        <v>296</v>
      </c>
    </row>
    <row r="3" spans="1:31" s="33" customFormat="1" x14ac:dyDescent="0.35">
      <c r="A3" s="491" t="s">
        <v>506</v>
      </c>
      <c r="B3" s="522">
        <v>1148.5541456099984</v>
      </c>
      <c r="C3" s="491" t="s">
        <v>505</v>
      </c>
      <c r="D3" s="522">
        <v>1884.0026714600001</v>
      </c>
      <c r="E3" s="491" t="s">
        <v>499</v>
      </c>
      <c r="F3" s="522">
        <v>213.54238706999996</v>
      </c>
      <c r="G3" s="220"/>
    </row>
    <row r="4" spans="1:31" s="33" customFormat="1" x14ac:dyDescent="0.35">
      <c r="A4" s="363" t="s">
        <v>510</v>
      </c>
      <c r="B4" s="523">
        <v>1068.7984022499991</v>
      </c>
      <c r="C4" s="363" t="s">
        <v>507</v>
      </c>
      <c r="D4" s="523">
        <v>1020.9314722999999</v>
      </c>
      <c r="E4" s="363" t="s">
        <v>497</v>
      </c>
      <c r="F4" s="523">
        <v>2.8719826200000003</v>
      </c>
      <c r="G4" s="220"/>
    </row>
    <row r="5" spans="1:31" s="219" customFormat="1" x14ac:dyDescent="0.35">
      <c r="A5" s="363" t="s">
        <v>512</v>
      </c>
      <c r="B5" s="523">
        <v>898.76050407000037</v>
      </c>
      <c r="C5" s="363" t="s">
        <v>503</v>
      </c>
      <c r="D5" s="523">
        <v>204.51078865999992</v>
      </c>
      <c r="E5" s="363" t="s">
        <v>495</v>
      </c>
      <c r="F5" s="523">
        <v>1.84305516</v>
      </c>
      <c r="G5" s="265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 ht="13" x14ac:dyDescent="0.3">
      <c r="A6" s="21" t="s">
        <v>493</v>
      </c>
      <c r="B6" s="523">
        <v>812.03422326999964</v>
      </c>
      <c r="C6" s="21" t="s">
        <v>515</v>
      </c>
      <c r="D6" s="523">
        <v>8.5295285400000012</v>
      </c>
      <c r="E6" s="374" t="s">
        <v>217</v>
      </c>
      <c r="F6" s="524">
        <f>SUM(F3:F5)</f>
        <v>218.25742484999998</v>
      </c>
      <c r="G6" s="150"/>
    </row>
    <row r="7" spans="1:31" x14ac:dyDescent="0.25">
      <c r="A7" s="21" t="s">
        <v>494</v>
      </c>
      <c r="B7" s="523">
        <v>618.58224287000019</v>
      </c>
      <c r="C7" s="21" t="s">
        <v>514</v>
      </c>
      <c r="D7" s="523">
        <v>2.7811694299999998</v>
      </c>
      <c r="E7" s="368"/>
      <c r="F7" s="97"/>
      <c r="G7" s="40"/>
    </row>
    <row r="8" spans="1:31" ht="13" x14ac:dyDescent="0.3">
      <c r="A8" s="21" t="s">
        <v>500</v>
      </c>
      <c r="B8" s="523">
        <v>506.33988848000087</v>
      </c>
      <c r="C8" s="375" t="s">
        <v>217</v>
      </c>
      <c r="D8" s="525">
        <f>SUM(D3:D7)</f>
        <v>3120.7556303900001</v>
      </c>
      <c r="E8" s="368"/>
      <c r="F8" s="97"/>
    </row>
    <row r="9" spans="1:31" x14ac:dyDescent="0.25">
      <c r="A9" s="21" t="s">
        <v>496</v>
      </c>
      <c r="B9" s="523">
        <v>454.34533439999956</v>
      </c>
      <c r="C9" s="368"/>
      <c r="D9" s="97"/>
      <c r="E9" s="368"/>
      <c r="F9" s="97"/>
    </row>
    <row r="10" spans="1:31" x14ac:dyDescent="0.25">
      <c r="A10" s="21" t="s">
        <v>502</v>
      </c>
      <c r="B10" s="523">
        <v>382.36306278000018</v>
      </c>
      <c r="C10" s="368"/>
      <c r="D10" s="97"/>
      <c r="E10" s="368"/>
      <c r="F10" s="97"/>
    </row>
    <row r="11" spans="1:31" x14ac:dyDescent="0.25">
      <c r="A11" s="21" t="s">
        <v>504</v>
      </c>
      <c r="B11" s="523">
        <v>326.34945487999988</v>
      </c>
      <c r="C11" s="368"/>
      <c r="D11" s="97"/>
      <c r="E11" s="368"/>
      <c r="F11" s="97"/>
    </row>
    <row r="12" spans="1:31" x14ac:dyDescent="0.25">
      <c r="A12" s="21" t="s">
        <v>486</v>
      </c>
      <c r="B12" s="523">
        <v>297.99917075999974</v>
      </c>
      <c r="C12" s="368"/>
      <c r="D12" s="97"/>
      <c r="E12" s="368"/>
      <c r="F12" s="97"/>
    </row>
    <row r="13" spans="1:31" x14ac:dyDescent="0.25">
      <c r="A13" s="21" t="s">
        <v>511</v>
      </c>
      <c r="B13" s="523">
        <v>210.0595748500001</v>
      </c>
      <c r="C13" s="368"/>
      <c r="D13" s="97"/>
      <c r="E13" s="368"/>
      <c r="F13" s="97"/>
    </row>
    <row r="14" spans="1:31" x14ac:dyDescent="0.25">
      <c r="A14" s="21" t="s">
        <v>508</v>
      </c>
      <c r="B14" s="371">
        <v>209.48333449999987</v>
      </c>
      <c r="C14" s="368"/>
      <c r="D14" s="97"/>
      <c r="E14" s="368"/>
      <c r="F14" s="97"/>
    </row>
    <row r="15" spans="1:31" x14ac:dyDescent="0.25">
      <c r="A15" s="21" t="s">
        <v>484</v>
      </c>
      <c r="B15" s="371">
        <v>188.84713389000001</v>
      </c>
      <c r="C15" s="368"/>
      <c r="D15" s="97"/>
      <c r="E15" s="368"/>
      <c r="F15" s="97"/>
    </row>
    <row r="16" spans="1:31" x14ac:dyDescent="0.25">
      <c r="A16" s="21" t="s">
        <v>488</v>
      </c>
      <c r="B16" s="371">
        <v>156.36289014000002</v>
      </c>
      <c r="C16" s="368"/>
      <c r="D16" s="97"/>
      <c r="E16" s="368"/>
      <c r="F16" s="97"/>
    </row>
    <row r="17" spans="1:7" x14ac:dyDescent="0.25">
      <c r="A17" s="21" t="s">
        <v>490</v>
      </c>
      <c r="B17" s="371">
        <v>130.64482998000014</v>
      </c>
      <c r="C17" s="368"/>
      <c r="D17" s="97"/>
      <c r="E17" s="368"/>
      <c r="F17" s="97"/>
    </row>
    <row r="18" spans="1:7" x14ac:dyDescent="0.25">
      <c r="A18" s="21" t="s">
        <v>489</v>
      </c>
      <c r="B18" s="371">
        <v>109.39202591</v>
      </c>
      <c r="C18" s="368"/>
      <c r="D18" s="97"/>
      <c r="E18" s="368"/>
      <c r="F18" s="97"/>
    </row>
    <row r="19" spans="1:7" x14ac:dyDescent="0.25">
      <c r="A19" s="21" t="s">
        <v>498</v>
      </c>
      <c r="B19" s="371">
        <v>103.73958010000003</v>
      </c>
      <c r="C19" s="368"/>
      <c r="D19" s="97"/>
      <c r="E19" s="368"/>
      <c r="F19" s="97"/>
    </row>
    <row r="20" spans="1:7" x14ac:dyDescent="0.25">
      <c r="A20" s="21" t="s">
        <v>491</v>
      </c>
      <c r="B20" s="371">
        <v>92.552131769999917</v>
      </c>
      <c r="C20" s="368"/>
      <c r="D20" s="97"/>
      <c r="F20" s="526"/>
      <c r="G20" s="40"/>
    </row>
    <row r="21" spans="1:7" x14ac:dyDescent="0.25">
      <c r="A21" s="21" t="s">
        <v>492</v>
      </c>
      <c r="B21" s="371">
        <v>66.490561390000011</v>
      </c>
      <c r="C21" s="368"/>
      <c r="D21" s="97"/>
      <c r="F21" s="526"/>
      <c r="G21" s="40"/>
    </row>
    <row r="22" spans="1:7" x14ac:dyDescent="0.25">
      <c r="A22" s="21" t="s">
        <v>487</v>
      </c>
      <c r="B22" s="371">
        <v>45.122662869999964</v>
      </c>
      <c r="C22" s="368"/>
      <c r="D22" s="97"/>
      <c r="E22" s="368"/>
      <c r="F22" s="4"/>
      <c r="G22" s="40"/>
    </row>
    <row r="23" spans="1:7" x14ac:dyDescent="0.25">
      <c r="A23" s="21" t="s">
        <v>483</v>
      </c>
      <c r="B23" s="371">
        <v>31.557034810000008</v>
      </c>
      <c r="C23" s="368"/>
      <c r="D23" s="97"/>
      <c r="F23" s="526"/>
      <c r="G23" s="40"/>
    </row>
    <row r="24" spans="1:7" x14ac:dyDescent="0.25">
      <c r="A24" s="21" t="s">
        <v>485</v>
      </c>
      <c r="B24" s="371">
        <v>24.67808673</v>
      </c>
      <c r="C24" s="368"/>
      <c r="D24" s="97"/>
      <c r="F24" s="526"/>
      <c r="G24" s="40"/>
    </row>
    <row r="25" spans="1:7" x14ac:dyDescent="0.25">
      <c r="A25" s="52" t="s">
        <v>482</v>
      </c>
      <c r="B25" s="372">
        <v>1.23860568</v>
      </c>
      <c r="C25" s="368"/>
      <c r="D25" s="97"/>
      <c r="F25" s="526"/>
      <c r="G25" s="40"/>
    </row>
    <row r="26" spans="1:7" ht="13" x14ac:dyDescent="0.3">
      <c r="A26" s="375" t="s">
        <v>217</v>
      </c>
      <c r="B26" s="42">
        <f>SUM(B3:B25)</f>
        <v>7884.2948819899975</v>
      </c>
      <c r="C26" s="368"/>
      <c r="D26" s="97"/>
      <c r="F26" s="526"/>
      <c r="G26" s="40"/>
    </row>
  </sheetData>
  <mergeCells count="1">
    <mergeCell ref="H1:I1"/>
  </mergeCells>
  <hyperlinks>
    <hyperlink ref="H1:I1" location="'Table of Content'!A1" display="Table of Content" xr:uid="{80E579D5-1076-40E8-ACF0-39F83C724A3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Table of Content</vt:lpstr>
      <vt:lpstr>Tab 1 Dec 2025 revisions</vt:lpstr>
      <vt:lpstr> Tab 2 Cum Trade value 2025</vt:lpstr>
      <vt:lpstr>Tab 3 Cum Trade value 2026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Intra-SADC</vt:lpstr>
      <vt:lpstr>Tab34 Food items </vt:lpstr>
      <vt:lpstr>Tab35 Beverages</vt:lpstr>
      <vt:lpstr>Tab36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Ezekiel N. Kambonde</cp:lastModifiedBy>
  <cp:lastPrinted>2022-10-18T15:02:29Z</cp:lastPrinted>
  <dcterms:created xsi:type="dcterms:W3CDTF">2022-04-20T09:38:20Z</dcterms:created>
  <dcterms:modified xsi:type="dcterms:W3CDTF">2026-03-03T07:52:56Z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