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5\Nov\Disseminate\"/>
    </mc:Choice>
  </mc:AlternateContent>
  <xr:revisionPtr revIDLastSave="0" documentId="8_{5D173BD7-DAAB-47ED-9F97-88B035EEC766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Oct 2025 revisions" sheetId="82" r:id="rId2"/>
    <sheet name=" Tab 2 Cum Trade value 2024" sheetId="83" r:id="rId3"/>
    <sheet name="Tab 3 Cum Trade value 2025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103" r:id="rId22"/>
    <sheet name="Tab22 Exports econ region&amp;p" sheetId="104" r:id="rId23"/>
    <sheet name="Tab23 Imp by economic regio" sheetId="105" r:id="rId24"/>
    <sheet name="Tab24 Imports econ region&amp;p" sheetId="106" r:id="rId25"/>
    <sheet name="Tab25 Exp by mode of trnspr" sheetId="107" r:id="rId26"/>
    <sheet name="Tab26 Cmodties by mode of t " sheetId="108" r:id="rId27"/>
    <sheet name="Tab27 Exports by NetWeight" sheetId="109" r:id="rId28"/>
    <sheet name="Tab28 Imp by mode of trnspr " sheetId="110" r:id="rId29"/>
    <sheet name="Tab29 Cmodties by mde of ta" sheetId="111" r:id="rId30"/>
    <sheet name="Tab30 Imports by NetWeight " sheetId="112" r:id="rId31"/>
    <sheet name="Tab31 Trade by Borderpost" sheetId="113" r:id="rId32"/>
    <sheet name="Tab32 AfCFTA" sheetId="114" r:id="rId33"/>
    <sheet name="Tab33 Food items " sheetId="115" r:id="rId34"/>
    <sheet name="Tab34 Beverages" sheetId="116" r:id="rId35"/>
    <sheet name="Tab35 Commodity of the Mont" sheetId="117" r:id="rId36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Product'!$A$1:$I$132</definedName>
    <definedName name="_xlnm._FilterDatabase" localSheetId="17" hidden="1">'Tab17 Top5 exp prdcts by countr'!$A$2:$F$28</definedName>
    <definedName name="_xlnm._FilterDatabase" localSheetId="21" hidden="1">'Tab22 Exports econ region&amp;p'!$A$2:$I$2</definedName>
    <definedName name="_xlnm._FilterDatabase" localSheetId="22" hidden="1">'Tab22 Exports econ region&amp;p'!$A$2:$I$2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1" hidden="1">'Tab31 Trade by Borderpost'!$X$2:$Y$78</definedName>
    <definedName name="_xlnm._FilterDatabase" localSheetId="33" hidden="1">'Tab33 Food items '!$A$44:$F$569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16" l="1"/>
  <c r="E17" i="115"/>
  <c r="D13" i="84"/>
  <c r="E13" i="84"/>
  <c r="D10" i="84"/>
  <c r="D11" i="84"/>
  <c r="D12" i="84"/>
  <c r="B26" i="88"/>
  <c r="I133" i="96" l="1"/>
  <c r="H133" i="96"/>
  <c r="D8" i="109"/>
  <c r="F6" i="117"/>
  <c r="F7" i="117"/>
  <c r="F8" i="117"/>
  <c r="F9" i="117"/>
  <c r="F10" i="117"/>
  <c r="F11" i="117"/>
  <c r="F12" i="117"/>
  <c r="F13" i="117"/>
  <c r="F14" i="117"/>
  <c r="F15" i="117"/>
  <c r="F16" i="117"/>
  <c r="F17" i="117"/>
  <c r="B18" i="117"/>
  <c r="C18" i="117"/>
  <c r="D18" i="117"/>
  <c r="E18" i="117"/>
  <c r="C25" i="117"/>
  <c r="C26" i="117"/>
  <c r="C27" i="117"/>
  <c r="C28" i="117"/>
  <c r="C29" i="117"/>
  <c r="B30" i="117"/>
  <c r="C22" i="117" s="1"/>
  <c r="E4" i="116"/>
  <c r="E5" i="116"/>
  <c r="E6" i="116"/>
  <c r="E7" i="116"/>
  <c r="E8" i="116"/>
  <c r="E9" i="116"/>
  <c r="E10" i="116"/>
  <c r="E11" i="116"/>
  <c r="E12" i="116"/>
  <c r="E13" i="116"/>
  <c r="E14" i="116"/>
  <c r="E15" i="116"/>
  <c r="C17" i="116"/>
  <c r="D17" i="116"/>
  <c r="E17" i="116"/>
  <c r="E5" i="115"/>
  <c r="E6" i="115"/>
  <c r="E7" i="115"/>
  <c r="E8" i="115"/>
  <c r="E18" i="115" s="1"/>
  <c r="E9" i="115"/>
  <c r="E10" i="115"/>
  <c r="E11" i="115"/>
  <c r="E12" i="115"/>
  <c r="E13" i="115"/>
  <c r="E14" i="115"/>
  <c r="E15" i="115"/>
  <c r="E16" i="115"/>
  <c r="C18" i="115"/>
  <c r="D18" i="115"/>
  <c r="U21" i="115"/>
  <c r="H24" i="115"/>
  <c r="I24" i="115"/>
  <c r="J24" i="115"/>
  <c r="K24" i="115"/>
  <c r="L24" i="115"/>
  <c r="M24" i="115"/>
  <c r="N24" i="115"/>
  <c r="O24" i="115"/>
  <c r="P24" i="115"/>
  <c r="Q24" i="115"/>
  <c r="R24" i="115"/>
  <c r="S24" i="115"/>
  <c r="T24" i="115"/>
  <c r="U9" i="115" s="1"/>
  <c r="U36" i="115"/>
  <c r="U44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U29" i="115" s="1"/>
  <c r="K4" i="114"/>
  <c r="K5" i="114"/>
  <c r="B6" i="114"/>
  <c r="C6" i="114"/>
  <c r="D6" i="114"/>
  <c r="E6" i="114"/>
  <c r="F6" i="114"/>
  <c r="G6" i="114"/>
  <c r="H6" i="114"/>
  <c r="I6" i="114"/>
  <c r="J6" i="114"/>
  <c r="C11" i="114"/>
  <c r="F11" i="114"/>
  <c r="C12" i="114"/>
  <c r="F12" i="114"/>
  <c r="C13" i="114"/>
  <c r="C14" i="114"/>
  <c r="C15" i="114"/>
  <c r="C16" i="114"/>
  <c r="F16" i="114"/>
  <c r="C17" i="114"/>
  <c r="F17" i="114"/>
  <c r="C18" i="114"/>
  <c r="C19" i="114"/>
  <c r="C20" i="114"/>
  <c r="F20" i="114"/>
  <c r="C21" i="114"/>
  <c r="F21" i="114"/>
  <c r="C22" i="114"/>
  <c r="C23" i="114"/>
  <c r="C24" i="114"/>
  <c r="C25" i="114"/>
  <c r="F25" i="114"/>
  <c r="C26" i="114"/>
  <c r="C27" i="114"/>
  <c r="C28" i="114"/>
  <c r="C29" i="114"/>
  <c r="F29" i="114"/>
  <c r="C30" i="114"/>
  <c r="C31" i="114"/>
  <c r="F31" i="114"/>
  <c r="C32" i="114"/>
  <c r="C33" i="114"/>
  <c r="C34" i="114"/>
  <c r="C35" i="114"/>
  <c r="F35" i="114"/>
  <c r="C36" i="114"/>
  <c r="F42" i="114"/>
  <c r="F43" i="114"/>
  <c r="F44" i="114"/>
  <c r="F45" i="114"/>
  <c r="B48" i="114"/>
  <c r="E48" i="114"/>
  <c r="C52" i="114"/>
  <c r="C53" i="114"/>
  <c r="C55" i="114"/>
  <c r="C56" i="114"/>
  <c r="C57" i="114"/>
  <c r="C59" i="114"/>
  <c r="C60" i="114"/>
  <c r="C61" i="114"/>
  <c r="C63" i="114"/>
  <c r="C64" i="114"/>
  <c r="C65" i="114"/>
  <c r="C67" i="114"/>
  <c r="C68" i="114"/>
  <c r="C69" i="114"/>
  <c r="C71" i="114"/>
  <c r="C72" i="114"/>
  <c r="C73" i="114"/>
  <c r="C75" i="114"/>
  <c r="C76" i="114"/>
  <c r="C77" i="114"/>
  <c r="C79" i="114"/>
  <c r="C80" i="114"/>
  <c r="C81" i="114"/>
  <c r="C83" i="114"/>
  <c r="C84" i="114"/>
  <c r="C85" i="114"/>
  <c r="C87" i="114"/>
  <c r="C88" i="114"/>
  <c r="C89" i="114"/>
  <c r="C91" i="114"/>
  <c r="C92" i="114"/>
  <c r="C93" i="114"/>
  <c r="C95" i="114"/>
  <c r="C96" i="114"/>
  <c r="C97" i="114"/>
  <c r="C99" i="114"/>
  <c r="C100" i="114"/>
  <c r="C101" i="114"/>
  <c r="C103" i="114"/>
  <c r="C104" i="114"/>
  <c r="C105" i="114"/>
  <c r="C107" i="114"/>
  <c r="C108" i="114"/>
  <c r="C109" i="114"/>
  <c r="C111" i="114"/>
  <c r="C112" i="114"/>
  <c r="C113" i="114"/>
  <c r="C115" i="114"/>
  <c r="C116" i="114"/>
  <c r="C117" i="114"/>
  <c r="C119" i="114"/>
  <c r="C120" i="114"/>
  <c r="C121" i="114"/>
  <c r="C123" i="114"/>
  <c r="C124" i="114"/>
  <c r="C125" i="114"/>
  <c r="C127" i="114"/>
  <c r="C128" i="114"/>
  <c r="C129" i="114"/>
  <c r="C131" i="114"/>
  <c r="C132" i="114"/>
  <c r="C133" i="114"/>
  <c r="C135" i="114"/>
  <c r="C136" i="114"/>
  <c r="C137" i="114"/>
  <c r="C139" i="114"/>
  <c r="C140" i="114"/>
  <c r="C141" i="114"/>
  <c r="C143" i="114"/>
  <c r="C144" i="114"/>
  <c r="C145" i="114"/>
  <c r="C147" i="114"/>
  <c r="C148" i="114"/>
  <c r="C149" i="114"/>
  <c r="C151" i="114"/>
  <c r="C152" i="114"/>
  <c r="C153" i="114"/>
  <c r="C155" i="114"/>
  <c r="C156" i="114"/>
  <c r="C157" i="114"/>
  <c r="C159" i="114"/>
  <c r="C160" i="114"/>
  <c r="C161" i="114"/>
  <c r="C163" i="114"/>
  <c r="C164" i="114"/>
  <c r="C165" i="114"/>
  <c r="C167" i="114"/>
  <c r="C168" i="114"/>
  <c r="C169" i="114"/>
  <c r="C171" i="114"/>
  <c r="C172" i="114"/>
  <c r="C173" i="114"/>
  <c r="C175" i="114"/>
  <c r="C176" i="114"/>
  <c r="C177" i="114"/>
  <c r="C179" i="114"/>
  <c r="C180" i="114"/>
  <c r="C181" i="114"/>
  <c r="C183" i="114"/>
  <c r="C184" i="114"/>
  <c r="C185" i="114"/>
  <c r="C187" i="114"/>
  <c r="C188" i="114"/>
  <c r="C189" i="114"/>
  <c r="C191" i="114"/>
  <c r="C192" i="114"/>
  <c r="C193" i="114"/>
  <c r="C195" i="114"/>
  <c r="C196" i="114"/>
  <c r="C197" i="114"/>
  <c r="C199" i="114"/>
  <c r="C200" i="114"/>
  <c r="C201" i="114"/>
  <c r="C203" i="114"/>
  <c r="C204" i="114"/>
  <c r="C205" i="114"/>
  <c r="C207" i="114"/>
  <c r="C208" i="114"/>
  <c r="C209" i="114"/>
  <c r="C211" i="114"/>
  <c r="C212" i="114"/>
  <c r="C213" i="114"/>
  <c r="C215" i="114"/>
  <c r="C216" i="114"/>
  <c r="C217" i="114"/>
  <c r="C219" i="114"/>
  <c r="C220" i="114"/>
  <c r="C221" i="114"/>
  <c r="C223" i="114"/>
  <c r="C224" i="114"/>
  <c r="C225" i="114"/>
  <c r="C227" i="114"/>
  <c r="C228" i="114"/>
  <c r="C229" i="114"/>
  <c r="C231" i="114"/>
  <c r="C232" i="114"/>
  <c r="C233" i="114"/>
  <c r="C235" i="114"/>
  <c r="C236" i="114"/>
  <c r="C237" i="114"/>
  <c r="C239" i="114"/>
  <c r="C240" i="114"/>
  <c r="C241" i="114"/>
  <c r="C243" i="114"/>
  <c r="C244" i="114"/>
  <c r="C245" i="114"/>
  <c r="C247" i="114"/>
  <c r="C248" i="114"/>
  <c r="C249" i="114"/>
  <c r="C251" i="114"/>
  <c r="C252" i="114"/>
  <c r="C253" i="114"/>
  <c r="C255" i="114"/>
  <c r="C256" i="114"/>
  <c r="C257" i="114"/>
  <c r="C259" i="114"/>
  <c r="C260" i="114"/>
  <c r="C261" i="114"/>
  <c r="C263" i="114"/>
  <c r="C264" i="114"/>
  <c r="C265" i="114"/>
  <c r="C267" i="114"/>
  <c r="C268" i="114"/>
  <c r="C269" i="114"/>
  <c r="C271" i="114"/>
  <c r="C272" i="114"/>
  <c r="C273" i="114"/>
  <c r="C275" i="114"/>
  <c r="C276" i="114"/>
  <c r="C277" i="114"/>
  <c r="C279" i="114"/>
  <c r="C280" i="114"/>
  <c r="C281" i="114"/>
  <c r="C283" i="114"/>
  <c r="C284" i="114"/>
  <c r="C285" i="114"/>
  <c r="C287" i="114"/>
  <c r="C288" i="114"/>
  <c r="C289" i="114"/>
  <c r="C291" i="114"/>
  <c r="C292" i="114"/>
  <c r="C293" i="114"/>
  <c r="B294" i="114"/>
  <c r="C54" i="114" s="1"/>
  <c r="E294" i="114"/>
  <c r="F55" i="114" s="1"/>
  <c r="Q3" i="113"/>
  <c r="Q4" i="113"/>
  <c r="Q5" i="113"/>
  <c r="Q6" i="113"/>
  <c r="Q7" i="113"/>
  <c r="Q8" i="113"/>
  <c r="Q9" i="113"/>
  <c r="Q10" i="113"/>
  <c r="Q11" i="113"/>
  <c r="Q12" i="113"/>
  <c r="Q13" i="113"/>
  <c r="Q14" i="113"/>
  <c r="Q16" i="113"/>
  <c r="Q17" i="113"/>
  <c r="Q18" i="113"/>
  <c r="Q19" i="113"/>
  <c r="B20" i="113"/>
  <c r="Q20" i="113"/>
  <c r="Q21" i="113"/>
  <c r="Q23" i="113"/>
  <c r="E24" i="113"/>
  <c r="Q24" i="113"/>
  <c r="Q25" i="113"/>
  <c r="Q26" i="113"/>
  <c r="Q27" i="113"/>
  <c r="Q28" i="113"/>
  <c r="Q30" i="113"/>
  <c r="Q31" i="113"/>
  <c r="Q32" i="113"/>
  <c r="Q33" i="113"/>
  <c r="Q34" i="113"/>
  <c r="Q35" i="113"/>
  <c r="Q36" i="113"/>
  <c r="Q38" i="113"/>
  <c r="Q39" i="113"/>
  <c r="Q40" i="113"/>
  <c r="Q41" i="113"/>
  <c r="Q42" i="113"/>
  <c r="Q43" i="113"/>
  <c r="Q44" i="113"/>
  <c r="Q46" i="113"/>
  <c r="Q47" i="113"/>
  <c r="Q48" i="113"/>
  <c r="Q49" i="113"/>
  <c r="Q50" i="113"/>
  <c r="Q51" i="113"/>
  <c r="Q52" i="113"/>
  <c r="Q54" i="113"/>
  <c r="Q55" i="113"/>
  <c r="Q56" i="113"/>
  <c r="Q57" i="113"/>
  <c r="Q58" i="113"/>
  <c r="Q59" i="113"/>
  <c r="Q60" i="113"/>
  <c r="Q62" i="113"/>
  <c r="Q63" i="113"/>
  <c r="Q64" i="113"/>
  <c r="Q65" i="113"/>
  <c r="Q66" i="113"/>
  <c r="Q67" i="113"/>
  <c r="Q68" i="113"/>
  <c r="Q70" i="113"/>
  <c r="Q71" i="113"/>
  <c r="Q72" i="113"/>
  <c r="Q73" i="113"/>
  <c r="Q74" i="113"/>
  <c r="Q75" i="113"/>
  <c r="Q76" i="113"/>
  <c r="Q78" i="113"/>
  <c r="Q79" i="113"/>
  <c r="Q80" i="113"/>
  <c r="Q81" i="113"/>
  <c r="Q82" i="113"/>
  <c r="M83" i="113"/>
  <c r="N4" i="113" s="1"/>
  <c r="P83" i="113"/>
  <c r="Q15" i="113" s="1"/>
  <c r="E3" i="112"/>
  <c r="F3" i="112"/>
  <c r="E4" i="112"/>
  <c r="F4" i="112"/>
  <c r="E5" i="112"/>
  <c r="F5" i="112"/>
  <c r="E6" i="112"/>
  <c r="F6" i="112"/>
  <c r="E7" i="112"/>
  <c r="F8" i="112"/>
  <c r="B9" i="112"/>
  <c r="C9" i="112"/>
  <c r="D9" i="112"/>
  <c r="E9" i="112"/>
  <c r="F9" i="112"/>
  <c r="B261" i="111"/>
  <c r="C261" i="111"/>
  <c r="D261" i="111"/>
  <c r="G261" i="111"/>
  <c r="H261" i="111"/>
  <c r="I261" i="111"/>
  <c r="L261" i="111"/>
  <c r="M261" i="111"/>
  <c r="N261" i="111"/>
  <c r="H4" i="110"/>
  <c r="I4" i="110"/>
  <c r="C5" i="110"/>
  <c r="E5" i="110"/>
  <c r="G5" i="110"/>
  <c r="H5" i="110"/>
  <c r="I5" i="110"/>
  <c r="C6" i="110"/>
  <c r="E6" i="110"/>
  <c r="H6" i="110"/>
  <c r="I6" i="110"/>
  <c r="C7" i="110"/>
  <c r="C8" i="110"/>
  <c r="E8" i="110"/>
  <c r="C9" i="110"/>
  <c r="E9" i="110"/>
  <c r="G9" i="110"/>
  <c r="B10" i="110"/>
  <c r="C4" i="110" s="1"/>
  <c r="C10" i="110"/>
  <c r="D10" i="110"/>
  <c r="E7" i="110" s="1"/>
  <c r="E10" i="110"/>
  <c r="F10" i="110"/>
  <c r="G7" i="110" s="1"/>
  <c r="H10" i="110"/>
  <c r="I10" i="110"/>
  <c r="E3" i="109"/>
  <c r="F3" i="109"/>
  <c r="E4" i="109"/>
  <c r="F4" i="109"/>
  <c r="E5" i="109"/>
  <c r="F5" i="109"/>
  <c r="E6" i="109"/>
  <c r="E7" i="109"/>
  <c r="B8" i="109"/>
  <c r="C8" i="109"/>
  <c r="E8" i="109"/>
  <c r="F8" i="109"/>
  <c r="B250" i="108"/>
  <c r="C250" i="108"/>
  <c r="D250" i="108"/>
  <c r="G250" i="108"/>
  <c r="H250" i="108"/>
  <c r="I250" i="108"/>
  <c r="L250" i="108"/>
  <c r="M250" i="108"/>
  <c r="N250" i="108"/>
  <c r="H4" i="107"/>
  <c r="I4" i="107"/>
  <c r="E5" i="107"/>
  <c r="G5" i="107"/>
  <c r="H5" i="107"/>
  <c r="I5" i="107"/>
  <c r="E6" i="107"/>
  <c r="G6" i="107"/>
  <c r="H6" i="107"/>
  <c r="I6" i="107"/>
  <c r="B9" i="107"/>
  <c r="C4" i="107" s="1"/>
  <c r="D9" i="107"/>
  <c r="E4" i="107" s="1"/>
  <c r="E9" i="107" s="1"/>
  <c r="F9" i="107"/>
  <c r="G4" i="107" s="1"/>
  <c r="G9" i="107" s="1"/>
  <c r="H9" i="107"/>
  <c r="B254" i="106"/>
  <c r="C254" i="106"/>
  <c r="D254" i="106"/>
  <c r="E254" i="106"/>
  <c r="F254" i="106"/>
  <c r="G254" i="106"/>
  <c r="H254" i="106"/>
  <c r="I254" i="106"/>
  <c r="J254" i="106"/>
  <c r="C4" i="105"/>
  <c r="E4" i="105"/>
  <c r="G4" i="105"/>
  <c r="H4" i="105"/>
  <c r="I4" i="105"/>
  <c r="C5" i="105"/>
  <c r="E5" i="105"/>
  <c r="G5" i="105"/>
  <c r="H5" i="105"/>
  <c r="I5" i="105"/>
  <c r="C6" i="105"/>
  <c r="E6" i="105"/>
  <c r="G6" i="105"/>
  <c r="H6" i="105"/>
  <c r="I6" i="105"/>
  <c r="C7" i="105"/>
  <c r="E7" i="105"/>
  <c r="G7" i="105"/>
  <c r="H7" i="105"/>
  <c r="I7" i="105"/>
  <c r="C8" i="105"/>
  <c r="E8" i="105"/>
  <c r="G8" i="105"/>
  <c r="H8" i="105"/>
  <c r="I8" i="105"/>
  <c r="C9" i="105"/>
  <c r="E9" i="105"/>
  <c r="G9" i="105"/>
  <c r="H9" i="105"/>
  <c r="I9" i="105"/>
  <c r="C10" i="105"/>
  <c r="E10" i="105"/>
  <c r="G10" i="105"/>
  <c r="H10" i="105"/>
  <c r="I10" i="105"/>
  <c r="C11" i="105"/>
  <c r="E11" i="105"/>
  <c r="G11" i="105"/>
  <c r="H11" i="105"/>
  <c r="I11" i="105"/>
  <c r="C12" i="105"/>
  <c r="E12" i="105"/>
  <c r="G12" i="105"/>
  <c r="H12" i="105"/>
  <c r="I12" i="105"/>
  <c r="B216" i="104"/>
  <c r="C216" i="104"/>
  <c r="D216" i="104"/>
  <c r="E216" i="104"/>
  <c r="F216" i="104"/>
  <c r="G216" i="104"/>
  <c r="H216" i="104"/>
  <c r="I216" i="104"/>
  <c r="J216" i="104"/>
  <c r="C4" i="103"/>
  <c r="E4" i="103"/>
  <c r="G4" i="103"/>
  <c r="H4" i="103"/>
  <c r="I4" i="103"/>
  <c r="C5" i="103"/>
  <c r="E5" i="103"/>
  <c r="G5" i="103"/>
  <c r="H5" i="103"/>
  <c r="I5" i="103"/>
  <c r="C6" i="103"/>
  <c r="E6" i="103"/>
  <c r="G6" i="103"/>
  <c r="H6" i="103"/>
  <c r="I6" i="103"/>
  <c r="C7" i="103"/>
  <c r="E7" i="103"/>
  <c r="G7" i="103"/>
  <c r="H7" i="103"/>
  <c r="I7" i="103"/>
  <c r="C8" i="103"/>
  <c r="E8" i="103"/>
  <c r="G8" i="103"/>
  <c r="H8" i="103"/>
  <c r="I8" i="103"/>
  <c r="C9" i="103"/>
  <c r="E9" i="103"/>
  <c r="G9" i="103"/>
  <c r="H9" i="103"/>
  <c r="I9" i="103"/>
  <c r="C10" i="103"/>
  <c r="E10" i="103"/>
  <c r="G10" i="103"/>
  <c r="H10" i="103"/>
  <c r="I10" i="103"/>
  <c r="C11" i="103"/>
  <c r="E11" i="103"/>
  <c r="G11" i="103"/>
  <c r="H11" i="103"/>
  <c r="C12" i="103"/>
  <c r="E12" i="103"/>
  <c r="G12" i="103"/>
  <c r="H12" i="103"/>
  <c r="I12" i="103"/>
  <c r="C24" i="117" l="1"/>
  <c r="C23" i="117"/>
  <c r="C30" i="117" s="1"/>
  <c r="U43" i="115"/>
  <c r="U35" i="115"/>
  <c r="U16" i="115"/>
  <c r="U33" i="115"/>
  <c r="U7" i="115"/>
  <c r="U40" i="115"/>
  <c r="U32" i="115"/>
  <c r="U8" i="115"/>
  <c r="U41" i="115"/>
  <c r="U11" i="115"/>
  <c r="U39" i="115"/>
  <c r="U31" i="115"/>
  <c r="U14" i="115"/>
  <c r="U10" i="115"/>
  <c r="U6" i="115"/>
  <c r="U24" i="115" s="1"/>
  <c r="U20" i="115"/>
  <c r="U19" i="115"/>
  <c r="U15" i="115"/>
  <c r="U46" i="115"/>
  <c r="U38" i="115"/>
  <c r="U30" i="115"/>
  <c r="U47" i="115" s="1"/>
  <c r="U23" i="115"/>
  <c r="U12" i="115"/>
  <c r="U42" i="115"/>
  <c r="U34" i="115"/>
  <c r="U18" i="115"/>
  <c r="U45" i="115"/>
  <c r="U37" i="115"/>
  <c r="U22" i="115"/>
  <c r="U17" i="115"/>
  <c r="U13" i="115"/>
  <c r="F281" i="114"/>
  <c r="F199" i="114"/>
  <c r="F158" i="114"/>
  <c r="F144" i="114"/>
  <c r="F126" i="114"/>
  <c r="F157" i="114"/>
  <c r="F111" i="114"/>
  <c r="F89" i="114"/>
  <c r="F68" i="114"/>
  <c r="F52" i="114"/>
  <c r="F271" i="114"/>
  <c r="F257" i="114"/>
  <c r="F175" i="114"/>
  <c r="F161" i="114"/>
  <c r="F143" i="114"/>
  <c r="F129" i="114"/>
  <c r="F293" i="114"/>
  <c r="F284" i="114"/>
  <c r="F266" i="114"/>
  <c r="F165" i="114"/>
  <c r="F147" i="114"/>
  <c r="F133" i="114"/>
  <c r="F115" i="114"/>
  <c r="F99" i="114"/>
  <c r="F88" i="114"/>
  <c r="F72" i="114"/>
  <c r="F61" i="114"/>
  <c r="F56" i="114"/>
  <c r="F288" i="114"/>
  <c r="F279" i="114"/>
  <c r="F270" i="114"/>
  <c r="F265" i="114"/>
  <c r="F256" i="114"/>
  <c r="F247" i="114"/>
  <c r="F238" i="114"/>
  <c r="F233" i="114"/>
  <c r="F224" i="114"/>
  <c r="F215" i="114"/>
  <c r="F206" i="114"/>
  <c r="F201" i="114"/>
  <c r="F192" i="114"/>
  <c r="F183" i="114"/>
  <c r="F174" i="114"/>
  <c r="F169" i="114"/>
  <c r="F160" i="114"/>
  <c r="F151" i="114"/>
  <c r="F142" i="114"/>
  <c r="F137" i="114"/>
  <c r="F128" i="114"/>
  <c r="F119" i="114"/>
  <c r="F14" i="114"/>
  <c r="F18" i="114"/>
  <c r="F22" i="114"/>
  <c r="F26" i="114"/>
  <c r="F30" i="114"/>
  <c r="F34" i="114"/>
  <c r="F40" i="114"/>
  <c r="F41" i="114"/>
  <c r="F39" i="114"/>
  <c r="F33" i="114"/>
  <c r="F24" i="114"/>
  <c r="F15" i="114"/>
  <c r="F231" i="114"/>
  <c r="F217" i="114"/>
  <c r="F135" i="114"/>
  <c r="F258" i="114"/>
  <c r="F244" i="114"/>
  <c r="F226" i="114"/>
  <c r="F194" i="114"/>
  <c r="F180" i="114"/>
  <c r="F162" i="114"/>
  <c r="F148" i="114"/>
  <c r="F100" i="114"/>
  <c r="F79" i="114"/>
  <c r="F289" i="114"/>
  <c r="F230" i="114"/>
  <c r="F216" i="114"/>
  <c r="F198" i="114"/>
  <c r="F261" i="114"/>
  <c r="F252" i="114"/>
  <c r="F234" i="114"/>
  <c r="F202" i="114"/>
  <c r="F188" i="114"/>
  <c r="F170" i="114"/>
  <c r="F156" i="114"/>
  <c r="F138" i="114"/>
  <c r="F104" i="114"/>
  <c r="F83" i="114"/>
  <c r="F292" i="114"/>
  <c r="F283" i="114"/>
  <c r="F274" i="114"/>
  <c r="F269" i="114"/>
  <c r="F260" i="114"/>
  <c r="F251" i="114"/>
  <c r="F242" i="114"/>
  <c r="F237" i="114"/>
  <c r="F228" i="114"/>
  <c r="F219" i="114"/>
  <c r="F210" i="114"/>
  <c r="F205" i="114"/>
  <c r="F196" i="114"/>
  <c r="F187" i="114"/>
  <c r="F178" i="114"/>
  <c r="F173" i="114"/>
  <c r="F164" i="114"/>
  <c r="F155" i="114"/>
  <c r="F146" i="114"/>
  <c r="F141" i="114"/>
  <c r="F132" i="114"/>
  <c r="F123" i="114"/>
  <c r="F113" i="114"/>
  <c r="F108" i="114"/>
  <c r="F103" i="114"/>
  <c r="F97" i="114"/>
  <c r="F92" i="114"/>
  <c r="F87" i="114"/>
  <c r="F81" i="114"/>
  <c r="F76" i="114"/>
  <c r="F71" i="114"/>
  <c r="F65" i="114"/>
  <c r="F60" i="114"/>
  <c r="F38" i="114"/>
  <c r="F28" i="114"/>
  <c r="F19" i="114"/>
  <c r="F54" i="114"/>
  <c r="F58" i="114"/>
  <c r="F62" i="114"/>
  <c r="F66" i="114"/>
  <c r="F70" i="114"/>
  <c r="F74" i="114"/>
  <c r="F78" i="114"/>
  <c r="F82" i="114"/>
  <c r="F86" i="114"/>
  <c r="F90" i="114"/>
  <c r="F94" i="114"/>
  <c r="F98" i="114"/>
  <c r="F102" i="114"/>
  <c r="F106" i="114"/>
  <c r="F110" i="114"/>
  <c r="F114" i="114"/>
  <c r="F263" i="114"/>
  <c r="F249" i="114"/>
  <c r="F185" i="114"/>
  <c r="F167" i="114"/>
  <c r="F290" i="114"/>
  <c r="F276" i="114"/>
  <c r="F235" i="114"/>
  <c r="F221" i="114"/>
  <c r="F203" i="114"/>
  <c r="F189" i="114"/>
  <c r="F125" i="114"/>
  <c r="F105" i="114"/>
  <c r="F84" i="114"/>
  <c r="F63" i="114"/>
  <c r="F280" i="114"/>
  <c r="F262" i="114"/>
  <c r="F248" i="114"/>
  <c r="F225" i="114"/>
  <c r="F275" i="114"/>
  <c r="F243" i="114"/>
  <c r="F229" i="114"/>
  <c r="F220" i="114"/>
  <c r="F179" i="114"/>
  <c r="F124" i="114"/>
  <c r="F93" i="114"/>
  <c r="F67" i="114"/>
  <c r="F287" i="114"/>
  <c r="F278" i="114"/>
  <c r="F273" i="114"/>
  <c r="F264" i="114"/>
  <c r="F255" i="114"/>
  <c r="F246" i="114"/>
  <c r="F241" i="114"/>
  <c r="F232" i="114"/>
  <c r="F223" i="114"/>
  <c r="F214" i="114"/>
  <c r="F209" i="114"/>
  <c r="F200" i="114"/>
  <c r="F191" i="114"/>
  <c r="F182" i="114"/>
  <c r="F177" i="114"/>
  <c r="F168" i="114"/>
  <c r="F159" i="114"/>
  <c r="F150" i="114"/>
  <c r="F145" i="114"/>
  <c r="F136" i="114"/>
  <c r="F127" i="114"/>
  <c r="F118" i="114"/>
  <c r="F47" i="114"/>
  <c r="F37" i="114"/>
  <c r="F32" i="114"/>
  <c r="F23" i="114"/>
  <c r="F286" i="114"/>
  <c r="F272" i="114"/>
  <c r="F254" i="114"/>
  <c r="F240" i="114"/>
  <c r="F222" i="114"/>
  <c r="F208" i="114"/>
  <c r="F190" i="114"/>
  <c r="F176" i="114"/>
  <c r="F153" i="114"/>
  <c r="F121" i="114"/>
  <c r="F285" i="114"/>
  <c r="F267" i="114"/>
  <c r="F253" i="114"/>
  <c r="F212" i="114"/>
  <c r="F171" i="114"/>
  <c r="F139" i="114"/>
  <c r="F130" i="114"/>
  <c r="F116" i="114"/>
  <c r="F95" i="114"/>
  <c r="F73" i="114"/>
  <c r="F57" i="114"/>
  <c r="F239" i="114"/>
  <c r="F207" i="114"/>
  <c r="F193" i="114"/>
  <c r="F184" i="114"/>
  <c r="F166" i="114"/>
  <c r="F152" i="114"/>
  <c r="F134" i="114"/>
  <c r="F120" i="114"/>
  <c r="C48" i="114"/>
  <c r="F211" i="114"/>
  <c r="F197" i="114"/>
  <c r="F109" i="114"/>
  <c r="F77" i="114"/>
  <c r="F291" i="114"/>
  <c r="F282" i="114"/>
  <c r="F277" i="114"/>
  <c r="F268" i="114"/>
  <c r="F259" i="114"/>
  <c r="F250" i="114"/>
  <c r="F245" i="114"/>
  <c r="F236" i="114"/>
  <c r="F227" i="114"/>
  <c r="F218" i="114"/>
  <c r="F213" i="114"/>
  <c r="F204" i="114"/>
  <c r="F195" i="114"/>
  <c r="F186" i="114"/>
  <c r="F181" i="114"/>
  <c r="F172" i="114"/>
  <c r="F163" i="114"/>
  <c r="F154" i="114"/>
  <c r="F149" i="114"/>
  <c r="F140" i="114"/>
  <c r="F131" i="114"/>
  <c r="F122" i="114"/>
  <c r="F117" i="114"/>
  <c r="F112" i="114"/>
  <c r="F107" i="114"/>
  <c r="F101" i="114"/>
  <c r="F96" i="114"/>
  <c r="F91" i="114"/>
  <c r="F85" i="114"/>
  <c r="F80" i="114"/>
  <c r="F75" i="114"/>
  <c r="F69" i="114"/>
  <c r="F64" i="114"/>
  <c r="F59" i="114"/>
  <c r="F53" i="114"/>
  <c r="F46" i="114"/>
  <c r="F36" i="114"/>
  <c r="F27" i="114"/>
  <c r="F13" i="114"/>
  <c r="F48" i="114" s="1"/>
  <c r="C290" i="114"/>
  <c r="C286" i="114"/>
  <c r="C282" i="114"/>
  <c r="C278" i="114"/>
  <c r="C274" i="114"/>
  <c r="C270" i="114"/>
  <c r="C266" i="114"/>
  <c r="C262" i="114"/>
  <c r="C258" i="114"/>
  <c r="C254" i="114"/>
  <c r="C250" i="114"/>
  <c r="C246" i="114"/>
  <c r="C242" i="114"/>
  <c r="C238" i="114"/>
  <c r="C234" i="114"/>
  <c r="C230" i="114"/>
  <c r="C226" i="114"/>
  <c r="C222" i="114"/>
  <c r="C218" i="114"/>
  <c r="C214" i="114"/>
  <c r="C210" i="114"/>
  <c r="C206" i="114"/>
  <c r="C202" i="114"/>
  <c r="C198" i="114"/>
  <c r="C194" i="114"/>
  <c r="C190" i="114"/>
  <c r="C186" i="114"/>
  <c r="C182" i="114"/>
  <c r="C178" i="114"/>
  <c r="C174" i="114"/>
  <c r="C170" i="114"/>
  <c r="C166" i="114"/>
  <c r="C162" i="114"/>
  <c r="C158" i="114"/>
  <c r="C154" i="114"/>
  <c r="C150" i="114"/>
  <c r="C146" i="114"/>
  <c r="C142" i="114"/>
  <c r="C138" i="114"/>
  <c r="C134" i="114"/>
  <c r="C130" i="114"/>
  <c r="C126" i="114"/>
  <c r="C122" i="114"/>
  <c r="C118" i="114"/>
  <c r="C114" i="114"/>
  <c r="C110" i="114"/>
  <c r="C106" i="114"/>
  <c r="C102" i="114"/>
  <c r="C98" i="114"/>
  <c r="C94" i="114"/>
  <c r="C90" i="114"/>
  <c r="C86" i="114"/>
  <c r="C82" i="114"/>
  <c r="C78" i="114"/>
  <c r="C74" i="114"/>
  <c r="C70" i="114"/>
  <c r="C66" i="114"/>
  <c r="C62" i="114"/>
  <c r="C58" i="114"/>
  <c r="C294" i="114" s="1"/>
  <c r="N7" i="113"/>
  <c r="N3" i="113"/>
  <c r="N83" i="113" s="1"/>
  <c r="N6" i="113"/>
  <c r="N5" i="113"/>
  <c r="Q77" i="113"/>
  <c r="Q69" i="113"/>
  <c r="Q61" i="113"/>
  <c r="Q53" i="113"/>
  <c r="Q45" i="113"/>
  <c r="Q37" i="113"/>
  <c r="Q29" i="113"/>
  <c r="Q22" i="113"/>
  <c r="Q83" i="113" s="1"/>
  <c r="N8" i="113"/>
  <c r="G8" i="110"/>
  <c r="G6" i="110"/>
  <c r="G4" i="110"/>
  <c r="G10" i="110" s="1"/>
  <c r="E4" i="110"/>
  <c r="C6" i="107"/>
  <c r="I9" i="107"/>
  <c r="C5" i="107"/>
  <c r="C9" i="107" s="1"/>
  <c r="F294" i="114" l="1"/>
  <c r="H244" i="95" l="1"/>
  <c r="L244" i="95"/>
  <c r="D177" i="91"/>
  <c r="B178" i="91"/>
  <c r="C178" i="91"/>
  <c r="B230" i="82"/>
  <c r="C230" i="82"/>
  <c r="D11" i="82"/>
  <c r="D12" i="82"/>
  <c r="D13" i="82"/>
  <c r="D14" i="82"/>
  <c r="D15" i="82"/>
  <c r="D16" i="82"/>
  <c r="D17" i="82"/>
  <c r="D223" i="82"/>
  <c r="D222" i="82"/>
  <c r="D221" i="82"/>
  <c r="D220" i="82"/>
  <c r="D219" i="82"/>
  <c r="D218" i="82"/>
  <c r="D217" i="82"/>
  <c r="D216" i="82"/>
  <c r="D229" i="82"/>
  <c r="D228" i="82"/>
  <c r="D227" i="82"/>
  <c r="D226" i="82"/>
  <c r="D225" i="82"/>
  <c r="D224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33" i="82"/>
  <c r="D34" i="82"/>
  <c r="D35" i="82"/>
  <c r="D36" i="82"/>
  <c r="D37" i="82"/>
  <c r="D38" i="82"/>
  <c r="D39" i="82"/>
  <c r="D40" i="82"/>
  <c r="D41" i="82"/>
  <c r="D42" i="82"/>
  <c r="D43" i="82"/>
  <c r="D44" i="82"/>
  <c r="D45" i="82"/>
  <c r="D46" i="82"/>
  <c r="D47" i="82"/>
  <c r="D48" i="82"/>
  <c r="D49" i="82"/>
  <c r="D50" i="82"/>
  <c r="D51" i="82"/>
  <c r="D52" i="82"/>
  <c r="D53" i="82"/>
  <c r="D54" i="82"/>
  <c r="D55" i="82"/>
  <c r="D56" i="82"/>
  <c r="D57" i="82"/>
  <c r="D58" i="82"/>
  <c r="D59" i="82"/>
  <c r="D60" i="82"/>
  <c r="D61" i="82"/>
  <c r="D62" i="82"/>
  <c r="D63" i="82"/>
  <c r="D64" i="82"/>
  <c r="D65" i="82"/>
  <c r="D66" i="82"/>
  <c r="D67" i="82"/>
  <c r="D68" i="82"/>
  <c r="D69" i="82"/>
  <c r="D70" i="82"/>
  <c r="D71" i="82"/>
  <c r="D72" i="82"/>
  <c r="D73" i="82"/>
  <c r="D74" i="82"/>
  <c r="D75" i="82"/>
  <c r="D76" i="82"/>
  <c r="D77" i="82"/>
  <c r="D78" i="82"/>
  <c r="D79" i="82"/>
  <c r="D80" i="82"/>
  <c r="D81" i="82"/>
  <c r="D82" i="82"/>
  <c r="D83" i="82"/>
  <c r="D84" i="82"/>
  <c r="D85" i="82"/>
  <c r="D86" i="82"/>
  <c r="D87" i="82"/>
  <c r="D88" i="82"/>
  <c r="D89" i="82"/>
  <c r="D90" i="82"/>
  <c r="D91" i="82"/>
  <c r="D92" i="82"/>
  <c r="D93" i="82"/>
  <c r="D94" i="82"/>
  <c r="D95" i="82"/>
  <c r="D96" i="82"/>
  <c r="D97" i="82"/>
  <c r="D98" i="82"/>
  <c r="D99" i="82"/>
  <c r="D100" i="82"/>
  <c r="D101" i="82"/>
  <c r="D102" i="82"/>
  <c r="D103" i="82"/>
  <c r="D104" i="82"/>
  <c r="D105" i="82"/>
  <c r="D106" i="82"/>
  <c r="D107" i="82"/>
  <c r="D108" i="82"/>
  <c r="D109" i="82"/>
  <c r="D110" i="82"/>
  <c r="D111" i="82"/>
  <c r="D112" i="82"/>
  <c r="D113" i="82"/>
  <c r="D114" i="82"/>
  <c r="D115" i="82"/>
  <c r="D116" i="82"/>
  <c r="D117" i="82"/>
  <c r="D118" i="82"/>
  <c r="D119" i="82"/>
  <c r="D120" i="82"/>
  <c r="D121" i="82"/>
  <c r="D122" i="82"/>
  <c r="D123" i="82"/>
  <c r="D124" i="82"/>
  <c r="D125" i="82"/>
  <c r="D126" i="82"/>
  <c r="D127" i="82"/>
  <c r="D128" i="82"/>
  <c r="D129" i="82"/>
  <c r="D130" i="82"/>
  <c r="D131" i="82"/>
  <c r="D132" i="82"/>
  <c r="D133" i="82"/>
  <c r="D134" i="82"/>
  <c r="D135" i="82"/>
  <c r="D136" i="82"/>
  <c r="D137" i="82"/>
  <c r="D138" i="82"/>
  <c r="D139" i="82"/>
  <c r="D140" i="82"/>
  <c r="D141" i="82"/>
  <c r="D142" i="82"/>
  <c r="D143" i="82"/>
  <c r="D144" i="82"/>
  <c r="D145" i="82"/>
  <c r="D146" i="82"/>
  <c r="D147" i="82"/>
  <c r="D148" i="82"/>
  <c r="D149" i="82"/>
  <c r="D150" i="82"/>
  <c r="D151" i="82"/>
  <c r="D152" i="82"/>
  <c r="D153" i="82"/>
  <c r="D154" i="82"/>
  <c r="D155" i="82"/>
  <c r="D156" i="82"/>
  <c r="D157" i="82"/>
  <c r="D158" i="82"/>
  <c r="D159" i="82"/>
  <c r="D160" i="82"/>
  <c r="D161" i="82"/>
  <c r="D162" i="82"/>
  <c r="D163" i="82"/>
  <c r="D164" i="82"/>
  <c r="D165" i="82"/>
  <c r="D166" i="82"/>
  <c r="D167" i="82"/>
  <c r="D168" i="82"/>
  <c r="D169" i="82"/>
  <c r="D170" i="82"/>
  <c r="D171" i="82"/>
  <c r="D172" i="82"/>
  <c r="D173" i="82"/>
  <c r="D174" i="82"/>
  <c r="D175" i="82"/>
  <c r="D176" i="82"/>
  <c r="D177" i="82"/>
  <c r="D178" i="82"/>
  <c r="D179" i="82"/>
  <c r="D180" i="82"/>
  <c r="D181" i="82"/>
  <c r="D182" i="82"/>
  <c r="D183" i="82"/>
  <c r="D184" i="82"/>
  <c r="D185" i="82"/>
  <c r="D186" i="82"/>
  <c r="D187" i="82"/>
  <c r="D188" i="82"/>
  <c r="D189" i="82"/>
  <c r="D190" i="82"/>
  <c r="D191" i="82"/>
  <c r="D192" i="82"/>
  <c r="D193" i="82"/>
  <c r="D194" i="82"/>
  <c r="D195" i="82"/>
  <c r="D196" i="82"/>
  <c r="D197" i="82"/>
  <c r="D198" i="82"/>
  <c r="D199" i="82"/>
  <c r="D200" i="82"/>
  <c r="D201" i="82"/>
  <c r="D202" i="82"/>
  <c r="D203" i="82"/>
  <c r="D204" i="82"/>
  <c r="D205" i="82"/>
  <c r="D206" i="82"/>
  <c r="D207" i="82"/>
  <c r="D208" i="82"/>
  <c r="D209" i="82"/>
  <c r="D210" i="82"/>
  <c r="D211" i="82"/>
  <c r="D212" i="82"/>
  <c r="D213" i="82"/>
  <c r="D214" i="82"/>
  <c r="D215" i="82"/>
  <c r="B4" i="82"/>
  <c r="C4" i="82"/>
  <c r="D166" i="91"/>
  <c r="D167" i="91"/>
  <c r="D168" i="91"/>
  <c r="D169" i="91"/>
  <c r="D170" i="91"/>
  <c r="D171" i="91"/>
  <c r="D172" i="91"/>
  <c r="D173" i="91"/>
  <c r="D174" i="91"/>
  <c r="D175" i="91"/>
  <c r="D176" i="91"/>
  <c r="H5" i="87"/>
  <c r="H6" i="87"/>
  <c r="H7" i="87"/>
  <c r="H8" i="87"/>
  <c r="H9" i="87"/>
  <c r="H10" i="87"/>
  <c r="H11" i="87"/>
  <c r="H12" i="87"/>
  <c r="H13" i="87"/>
  <c r="E11" i="84"/>
  <c r="E12" i="84"/>
  <c r="I11" i="82"/>
  <c r="I12" i="82"/>
  <c r="I13" i="82"/>
  <c r="I14" i="82"/>
  <c r="I15" i="82"/>
  <c r="I16" i="82"/>
  <c r="I17" i="82"/>
  <c r="I18" i="82"/>
  <c r="I19" i="82"/>
  <c r="I20" i="82"/>
  <c r="I21" i="82"/>
  <c r="I22" i="82"/>
  <c r="I23" i="82"/>
  <c r="I24" i="82"/>
  <c r="I25" i="82"/>
  <c r="I26" i="82"/>
  <c r="I27" i="82"/>
  <c r="I28" i="82"/>
  <c r="I29" i="82"/>
  <c r="I30" i="82"/>
  <c r="I31" i="82"/>
  <c r="I32" i="82"/>
  <c r="I33" i="82"/>
  <c r="I34" i="82"/>
  <c r="I35" i="82"/>
  <c r="I36" i="82"/>
  <c r="I37" i="82"/>
  <c r="I38" i="82"/>
  <c r="I39" i="82"/>
  <c r="I40" i="82"/>
  <c r="I41" i="82"/>
  <c r="I42" i="82"/>
  <c r="I43" i="82"/>
  <c r="I44" i="82"/>
  <c r="I45" i="82"/>
  <c r="I46" i="82"/>
  <c r="I47" i="82"/>
  <c r="I48" i="82"/>
  <c r="I49" i="82"/>
  <c r="I50" i="82"/>
  <c r="I51" i="82"/>
  <c r="I52" i="82"/>
  <c r="I53" i="82"/>
  <c r="I54" i="82"/>
  <c r="I55" i="82"/>
  <c r="I56" i="82"/>
  <c r="I57" i="82"/>
  <c r="I58" i="82"/>
  <c r="I59" i="82"/>
  <c r="I60" i="82"/>
  <c r="I61" i="82"/>
  <c r="I62" i="82"/>
  <c r="I63" i="82"/>
  <c r="I64" i="82"/>
  <c r="I65" i="82"/>
  <c r="I66" i="82"/>
  <c r="I67" i="82"/>
  <c r="I68" i="82"/>
  <c r="I69" i="82"/>
  <c r="I70" i="82"/>
  <c r="I71" i="82"/>
  <c r="I72" i="82"/>
  <c r="I73" i="82"/>
  <c r="I74" i="82"/>
  <c r="I75" i="82"/>
  <c r="I76" i="82"/>
  <c r="I77" i="82"/>
  <c r="I78" i="82"/>
  <c r="I79" i="82"/>
  <c r="I80" i="82"/>
  <c r="I81" i="82"/>
  <c r="I82" i="82"/>
  <c r="I83" i="82"/>
  <c r="I84" i="82"/>
  <c r="I85" i="82"/>
  <c r="I86" i="82"/>
  <c r="I87" i="82"/>
  <c r="I88" i="82"/>
  <c r="I89" i="82"/>
  <c r="I90" i="82"/>
  <c r="I91" i="82"/>
  <c r="I92" i="82"/>
  <c r="I93" i="82"/>
  <c r="I94" i="82"/>
  <c r="I95" i="82"/>
  <c r="I96" i="82"/>
  <c r="I97" i="82"/>
  <c r="I98" i="82"/>
  <c r="I99" i="82"/>
  <c r="I100" i="82"/>
  <c r="I101" i="82"/>
  <c r="I102" i="82"/>
  <c r="I103" i="82"/>
  <c r="I104" i="82"/>
  <c r="I105" i="82"/>
  <c r="I106" i="82"/>
  <c r="I107" i="82"/>
  <c r="I108" i="82"/>
  <c r="I109" i="82"/>
  <c r="I110" i="82"/>
  <c r="I111" i="82"/>
  <c r="I112" i="82"/>
  <c r="I113" i="82"/>
  <c r="I114" i="82"/>
  <c r="I115" i="82"/>
  <c r="I116" i="82"/>
  <c r="I117" i="82"/>
  <c r="I118" i="82"/>
  <c r="I119" i="82"/>
  <c r="I120" i="82"/>
  <c r="I121" i="82"/>
  <c r="I122" i="82"/>
  <c r="I123" i="82"/>
  <c r="I124" i="82"/>
  <c r="I125" i="82"/>
  <c r="I126" i="82"/>
  <c r="I127" i="82"/>
  <c r="I128" i="82"/>
  <c r="I129" i="82"/>
  <c r="I130" i="82"/>
  <c r="I131" i="82"/>
  <c r="I132" i="82"/>
  <c r="I133" i="82"/>
  <c r="I134" i="82"/>
  <c r="I135" i="82"/>
  <c r="I136" i="82"/>
  <c r="I137" i="82"/>
  <c r="I138" i="82"/>
  <c r="I139" i="82"/>
  <c r="I140" i="82"/>
  <c r="I141" i="82"/>
  <c r="I142" i="82"/>
  <c r="I143" i="82"/>
  <c r="I144" i="82"/>
  <c r="I145" i="82"/>
  <c r="I146" i="82"/>
  <c r="I147" i="82"/>
  <c r="I148" i="82"/>
  <c r="I149" i="82"/>
  <c r="I150" i="82"/>
  <c r="I151" i="82"/>
  <c r="I152" i="82"/>
  <c r="I153" i="82"/>
  <c r="I154" i="82"/>
  <c r="I155" i="82"/>
  <c r="I156" i="82"/>
  <c r="I157" i="82"/>
  <c r="I158" i="82"/>
  <c r="I159" i="82"/>
  <c r="I160" i="82"/>
  <c r="I161" i="82"/>
  <c r="I162" i="82"/>
  <c r="I163" i="82"/>
  <c r="I164" i="82"/>
  <c r="I165" i="82"/>
  <c r="I166" i="82"/>
  <c r="I167" i="82"/>
  <c r="I168" i="82"/>
  <c r="I169" i="82"/>
  <c r="I170" i="82"/>
  <c r="I171" i="82"/>
  <c r="I172" i="82"/>
  <c r="I173" i="82"/>
  <c r="I174" i="82"/>
  <c r="I175" i="82"/>
  <c r="I176" i="82"/>
  <c r="I177" i="82"/>
  <c r="I178" i="82"/>
  <c r="I179" i="82"/>
  <c r="I180" i="82"/>
  <c r="I181" i="82"/>
  <c r="I182" i="82"/>
  <c r="I183" i="82"/>
  <c r="I184" i="82"/>
  <c r="I185" i="82"/>
  <c r="I186" i="82"/>
  <c r="I187" i="82"/>
  <c r="I188" i="82"/>
  <c r="I189" i="82"/>
  <c r="I190" i="82"/>
  <c r="I191" i="82"/>
  <c r="I192" i="82"/>
  <c r="I193" i="82"/>
  <c r="I194" i="82"/>
  <c r="I195" i="82"/>
  <c r="I196" i="82"/>
  <c r="I197" i="82"/>
  <c r="I198" i="82"/>
  <c r="I199" i="82"/>
  <c r="I200" i="82"/>
  <c r="I201" i="82"/>
  <c r="I202" i="82"/>
  <c r="I203" i="82"/>
  <c r="I204" i="82"/>
  <c r="I205" i="82"/>
  <c r="I206" i="82"/>
  <c r="I207" i="82"/>
  <c r="I208" i="82"/>
  <c r="I209" i="82"/>
  <c r="I210" i="82"/>
  <c r="I211" i="82"/>
  <c r="I212" i="82"/>
  <c r="I213" i="82"/>
  <c r="I214" i="82"/>
  <c r="I215" i="82"/>
  <c r="I216" i="82"/>
  <c r="I217" i="82"/>
  <c r="I218" i="82"/>
  <c r="I219" i="82"/>
  <c r="I220" i="82"/>
  <c r="I221" i="82"/>
  <c r="I222" i="82"/>
  <c r="I223" i="82"/>
  <c r="I224" i="82"/>
  <c r="I225" i="82"/>
  <c r="I226" i="82"/>
  <c r="I227" i="82"/>
  <c r="I228" i="82"/>
  <c r="I229" i="82"/>
  <c r="I230" i="82"/>
  <c r="I231" i="82"/>
  <c r="I232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I245" i="82"/>
  <c r="I246" i="82"/>
  <c r="I247" i="82"/>
  <c r="I248" i="82"/>
  <c r="I249" i="82"/>
  <c r="I250" i="82"/>
  <c r="I251" i="82"/>
  <c r="I252" i="82"/>
  <c r="I253" i="82"/>
  <c r="I254" i="82"/>
  <c r="I255" i="82"/>
  <c r="I256" i="82"/>
  <c r="I257" i="82"/>
  <c r="G258" i="82"/>
  <c r="B5" i="82" s="1"/>
  <c r="H258" i="82"/>
  <c r="C5" i="82" s="1"/>
  <c r="I258" i="82" l="1"/>
  <c r="D230" i="82"/>
  <c r="B6" i="82"/>
  <c r="C6" i="82"/>
  <c r="D4" i="82"/>
  <c r="E4" i="82"/>
  <c r="D5" i="82"/>
  <c r="E5" i="82"/>
  <c r="H4" i="87"/>
  <c r="H4" i="85"/>
  <c r="D11" i="83"/>
  <c r="D9" i="84"/>
  <c r="E10" i="84"/>
  <c r="F15" i="90"/>
  <c r="C4" i="101"/>
  <c r="F4" i="101"/>
  <c r="C5" i="101"/>
  <c r="F5" i="101"/>
  <c r="C6" i="101"/>
  <c r="F6" i="101"/>
  <c r="C7" i="101"/>
  <c r="F7" i="101"/>
  <c r="C8" i="101"/>
  <c r="F8" i="101"/>
  <c r="C9" i="101"/>
  <c r="F9" i="101"/>
  <c r="C10" i="101"/>
  <c r="F10" i="101"/>
  <c r="C11" i="101"/>
  <c r="F11" i="101"/>
  <c r="C12" i="101"/>
  <c r="F12" i="101"/>
  <c r="C13" i="101"/>
  <c r="F13" i="101"/>
  <c r="B14" i="101"/>
  <c r="C14" i="101"/>
  <c r="E14" i="101"/>
  <c r="F14" i="101" s="1"/>
  <c r="H4" i="97"/>
  <c r="I4" i="97"/>
  <c r="H5" i="97"/>
  <c r="I5" i="97"/>
  <c r="H6" i="97"/>
  <c r="I6" i="97"/>
  <c r="H7" i="97"/>
  <c r="I7" i="97"/>
  <c r="H8" i="97"/>
  <c r="I8" i="97"/>
  <c r="H9" i="97"/>
  <c r="I9" i="97"/>
  <c r="H10" i="97"/>
  <c r="I10" i="97"/>
  <c r="H11" i="97"/>
  <c r="I11" i="97"/>
  <c r="H12" i="97"/>
  <c r="I12" i="97"/>
  <c r="H13" i="97"/>
  <c r="I13" i="97"/>
  <c r="H14" i="97"/>
  <c r="I14" i="97"/>
  <c r="H15" i="97"/>
  <c r="I15" i="97"/>
  <c r="H16" i="97"/>
  <c r="I16" i="97"/>
  <c r="H17" i="97"/>
  <c r="I17" i="97"/>
  <c r="H18" i="97"/>
  <c r="I18" i="97"/>
  <c r="H19" i="97"/>
  <c r="I19" i="97"/>
  <c r="H20" i="97"/>
  <c r="I20" i="97"/>
  <c r="H21" i="97"/>
  <c r="I21" i="97"/>
  <c r="H22" i="97"/>
  <c r="I22" i="97"/>
  <c r="H23" i="97"/>
  <c r="I23" i="97"/>
  <c r="H24" i="97"/>
  <c r="I24" i="97"/>
  <c r="H25" i="97"/>
  <c r="I25" i="97"/>
  <c r="H26" i="97"/>
  <c r="I26" i="97"/>
  <c r="H27" i="97"/>
  <c r="I27" i="97"/>
  <c r="H28" i="97"/>
  <c r="I28" i="97"/>
  <c r="H29" i="97"/>
  <c r="I29" i="97"/>
  <c r="H30" i="97"/>
  <c r="I30" i="97"/>
  <c r="H31" i="97"/>
  <c r="I31" i="97"/>
  <c r="H32" i="97"/>
  <c r="I32" i="97"/>
  <c r="H33" i="97"/>
  <c r="I33" i="97"/>
  <c r="H34" i="97"/>
  <c r="I34" i="97"/>
  <c r="H35" i="97"/>
  <c r="I35" i="97"/>
  <c r="H36" i="97"/>
  <c r="I36" i="97"/>
  <c r="H37" i="97"/>
  <c r="I37" i="97"/>
  <c r="H38" i="97"/>
  <c r="I38" i="97"/>
  <c r="H39" i="97"/>
  <c r="I39" i="97"/>
  <c r="H40" i="97"/>
  <c r="I40" i="97"/>
  <c r="H41" i="97"/>
  <c r="I41" i="97"/>
  <c r="H42" i="97"/>
  <c r="I42" i="97"/>
  <c r="H43" i="97"/>
  <c r="I43" i="97"/>
  <c r="H44" i="97"/>
  <c r="I44" i="97"/>
  <c r="H45" i="97"/>
  <c r="I45" i="97"/>
  <c r="H46" i="97"/>
  <c r="I46" i="97"/>
  <c r="H47" i="97"/>
  <c r="I47" i="97"/>
  <c r="H48" i="97"/>
  <c r="I48" i="97"/>
  <c r="H49" i="97"/>
  <c r="I49" i="97"/>
  <c r="H50" i="97"/>
  <c r="I50" i="97"/>
  <c r="H51" i="97"/>
  <c r="I51" i="97"/>
  <c r="H52" i="97"/>
  <c r="I52" i="97"/>
  <c r="H53" i="97"/>
  <c r="I53" i="97"/>
  <c r="H54" i="97"/>
  <c r="I54" i="97"/>
  <c r="H55" i="97"/>
  <c r="I55" i="97"/>
  <c r="H56" i="97"/>
  <c r="I56" i="97"/>
  <c r="H57" i="97"/>
  <c r="I57" i="97"/>
  <c r="H58" i="97"/>
  <c r="I58" i="97"/>
  <c r="H59" i="97"/>
  <c r="I59" i="97"/>
  <c r="H60" i="97"/>
  <c r="I60" i="97"/>
  <c r="H61" i="97"/>
  <c r="I61" i="97"/>
  <c r="H62" i="97"/>
  <c r="I62" i="97"/>
  <c r="H63" i="97"/>
  <c r="I63" i="97"/>
  <c r="H64" i="97"/>
  <c r="I64" i="97"/>
  <c r="H65" i="97"/>
  <c r="I65" i="97"/>
  <c r="H66" i="97"/>
  <c r="I66" i="97"/>
  <c r="H67" i="97"/>
  <c r="I67" i="97"/>
  <c r="H68" i="97"/>
  <c r="I68" i="97"/>
  <c r="H69" i="97"/>
  <c r="I69" i="97"/>
  <c r="H70" i="97"/>
  <c r="I70" i="97"/>
  <c r="H71" i="97"/>
  <c r="I71" i="97"/>
  <c r="H72" i="97"/>
  <c r="I72" i="97"/>
  <c r="H73" i="97"/>
  <c r="I73" i="97"/>
  <c r="H74" i="97"/>
  <c r="I74" i="97"/>
  <c r="H75" i="97"/>
  <c r="I75" i="97"/>
  <c r="H76" i="97"/>
  <c r="I76" i="97"/>
  <c r="H77" i="97"/>
  <c r="I77" i="97"/>
  <c r="H78" i="97"/>
  <c r="I78" i="97"/>
  <c r="H79" i="97"/>
  <c r="I79" i="97"/>
  <c r="H80" i="97"/>
  <c r="I80" i="97"/>
  <c r="H81" i="97"/>
  <c r="I81" i="97"/>
  <c r="H82" i="97"/>
  <c r="I82" i="97"/>
  <c r="H83" i="97"/>
  <c r="I83" i="97"/>
  <c r="H84" i="97"/>
  <c r="I84" i="97"/>
  <c r="H85" i="97"/>
  <c r="I85" i="97"/>
  <c r="H86" i="97"/>
  <c r="I86" i="97"/>
  <c r="H87" i="97"/>
  <c r="I87" i="97"/>
  <c r="H88" i="97"/>
  <c r="I88" i="97"/>
  <c r="H89" i="97"/>
  <c r="I89" i="97"/>
  <c r="H90" i="97"/>
  <c r="I90" i="97"/>
  <c r="H91" i="97"/>
  <c r="I91" i="97"/>
  <c r="H92" i="97"/>
  <c r="I92" i="97"/>
  <c r="H93" i="97"/>
  <c r="I93" i="97"/>
  <c r="H94" i="97"/>
  <c r="I94" i="97"/>
  <c r="H95" i="97"/>
  <c r="I95" i="97"/>
  <c r="H96" i="97"/>
  <c r="I96" i="97"/>
  <c r="H97" i="97"/>
  <c r="I97" i="97"/>
  <c r="H98" i="97"/>
  <c r="I98" i="97"/>
  <c r="H99" i="97"/>
  <c r="I99" i="97"/>
  <c r="H100" i="97"/>
  <c r="I100" i="97"/>
  <c r="H101" i="97"/>
  <c r="I101" i="97"/>
  <c r="H102" i="97"/>
  <c r="I102" i="97"/>
  <c r="H103" i="97"/>
  <c r="I103" i="97"/>
  <c r="H104" i="97"/>
  <c r="I104" i="97"/>
  <c r="H105" i="97"/>
  <c r="I105" i="97"/>
  <c r="H106" i="97"/>
  <c r="I106" i="97"/>
  <c r="H107" i="97"/>
  <c r="I107" i="97"/>
  <c r="H108" i="97"/>
  <c r="I108" i="97"/>
  <c r="H109" i="97"/>
  <c r="I109" i="97"/>
  <c r="H110" i="97"/>
  <c r="I110" i="97"/>
  <c r="H111" i="97"/>
  <c r="I111" i="97"/>
  <c r="H112" i="97"/>
  <c r="I112" i="97"/>
  <c r="H113" i="97"/>
  <c r="I113" i="97"/>
  <c r="H114" i="97"/>
  <c r="I114" i="97"/>
  <c r="H115" i="97"/>
  <c r="I115" i="97"/>
  <c r="H116" i="97"/>
  <c r="I116" i="97"/>
  <c r="H117" i="97"/>
  <c r="I117" i="97"/>
  <c r="H118" i="97"/>
  <c r="I118" i="97"/>
  <c r="H119" i="97"/>
  <c r="I119" i="97"/>
  <c r="H120" i="97"/>
  <c r="I120" i="97"/>
  <c r="H121" i="97"/>
  <c r="I121" i="97"/>
  <c r="H122" i="97"/>
  <c r="I122" i="97"/>
  <c r="H123" i="97"/>
  <c r="I123" i="97"/>
  <c r="H124" i="97"/>
  <c r="I124" i="97"/>
  <c r="H125" i="97"/>
  <c r="I125" i="97"/>
  <c r="H126" i="97"/>
  <c r="I126" i="97"/>
  <c r="H127" i="97"/>
  <c r="I127" i="97"/>
  <c r="H128" i="97"/>
  <c r="I128" i="97"/>
  <c r="H129" i="97"/>
  <c r="I129" i="97"/>
  <c r="H130" i="97"/>
  <c r="I130" i="97"/>
  <c r="H131" i="97"/>
  <c r="I131" i="97"/>
  <c r="H132" i="97"/>
  <c r="I132" i="97"/>
  <c r="H133" i="97"/>
  <c r="I133" i="97"/>
  <c r="H134" i="97"/>
  <c r="I134" i="97"/>
  <c r="H135" i="97"/>
  <c r="I135" i="97"/>
  <c r="H136" i="97"/>
  <c r="I136" i="97"/>
  <c r="H137" i="97"/>
  <c r="I137" i="97"/>
  <c r="H138" i="97"/>
  <c r="I138" i="97"/>
  <c r="H139" i="97"/>
  <c r="I139" i="97"/>
  <c r="H140" i="97"/>
  <c r="I140" i="97"/>
  <c r="H141" i="97"/>
  <c r="I141" i="97"/>
  <c r="H142" i="97"/>
  <c r="I142" i="97"/>
  <c r="H143" i="97"/>
  <c r="I143" i="97"/>
  <c r="H144" i="97"/>
  <c r="I144" i="97"/>
  <c r="H145" i="97"/>
  <c r="I145" i="97"/>
  <c r="H146" i="97"/>
  <c r="I146" i="97"/>
  <c r="H147" i="97"/>
  <c r="I147" i="97"/>
  <c r="H148" i="97"/>
  <c r="I148" i="97"/>
  <c r="H149" i="97"/>
  <c r="I149" i="97"/>
  <c r="H150" i="97"/>
  <c r="I150" i="97"/>
  <c r="H151" i="97"/>
  <c r="I151" i="97"/>
  <c r="H152" i="97"/>
  <c r="I152" i="97"/>
  <c r="H153" i="97"/>
  <c r="I153" i="97"/>
  <c r="H154" i="97"/>
  <c r="I154" i="97"/>
  <c r="H155" i="97"/>
  <c r="I155" i="97"/>
  <c r="H156" i="97"/>
  <c r="I156" i="97"/>
  <c r="H157" i="97"/>
  <c r="I157" i="97"/>
  <c r="H158" i="97"/>
  <c r="I158" i="97"/>
  <c r="H159" i="97"/>
  <c r="I159" i="97"/>
  <c r="H160" i="97"/>
  <c r="I160" i="97"/>
  <c r="H161" i="97"/>
  <c r="I161" i="97"/>
  <c r="H162" i="97"/>
  <c r="I162" i="97"/>
  <c r="H163" i="97"/>
  <c r="I163" i="97"/>
  <c r="H164" i="97"/>
  <c r="I164" i="97"/>
  <c r="H165" i="97"/>
  <c r="I165" i="97"/>
  <c r="H166" i="97"/>
  <c r="I166" i="97"/>
  <c r="H167" i="97"/>
  <c r="I167" i="97"/>
  <c r="H168" i="97"/>
  <c r="I168" i="97"/>
  <c r="H169" i="97"/>
  <c r="I169" i="97"/>
  <c r="H170" i="97"/>
  <c r="I170" i="97"/>
  <c r="H171" i="97"/>
  <c r="I171" i="97"/>
  <c r="H172" i="97"/>
  <c r="I172" i="97"/>
  <c r="H173" i="97"/>
  <c r="I173" i="97"/>
  <c r="H174" i="97"/>
  <c r="I174" i="97"/>
  <c r="H175" i="97"/>
  <c r="I175" i="97"/>
  <c r="H176" i="97"/>
  <c r="I176" i="97"/>
  <c r="H177" i="97"/>
  <c r="I177" i="97"/>
  <c r="H178" i="97"/>
  <c r="I178" i="97"/>
  <c r="H179" i="97"/>
  <c r="I179" i="97"/>
  <c r="H180" i="97"/>
  <c r="I180" i="97"/>
  <c r="H181" i="97"/>
  <c r="I181" i="97"/>
  <c r="H182" i="97"/>
  <c r="I182" i="97"/>
  <c r="H183" i="97"/>
  <c r="I183" i="97"/>
  <c r="H184" i="97"/>
  <c r="I184" i="97"/>
  <c r="H185" i="97"/>
  <c r="I185" i="97"/>
  <c r="H186" i="97"/>
  <c r="I186" i="97"/>
  <c r="H187" i="97"/>
  <c r="I187" i="97"/>
  <c r="H188" i="97"/>
  <c r="I188" i="97"/>
  <c r="H189" i="97"/>
  <c r="I189" i="97"/>
  <c r="H190" i="97"/>
  <c r="I190" i="97"/>
  <c r="H191" i="97"/>
  <c r="I191" i="97"/>
  <c r="H192" i="97"/>
  <c r="I192" i="97"/>
  <c r="H193" i="97"/>
  <c r="I193" i="97"/>
  <c r="H194" i="97"/>
  <c r="I194" i="97"/>
  <c r="H195" i="97"/>
  <c r="I195" i="97"/>
  <c r="H196" i="97"/>
  <c r="I196" i="97"/>
  <c r="H197" i="97"/>
  <c r="I197" i="97"/>
  <c r="H198" i="97"/>
  <c r="I198" i="97"/>
  <c r="H199" i="97"/>
  <c r="I199" i="97"/>
  <c r="H200" i="97"/>
  <c r="I200" i="97"/>
  <c r="H201" i="97"/>
  <c r="I201" i="97"/>
  <c r="H202" i="97"/>
  <c r="I202" i="97"/>
  <c r="H203" i="97"/>
  <c r="I203" i="97"/>
  <c r="H204" i="97"/>
  <c r="I204" i="97"/>
  <c r="H205" i="97"/>
  <c r="I205" i="97"/>
  <c r="H206" i="97"/>
  <c r="I206" i="97"/>
  <c r="H207" i="97"/>
  <c r="I207" i="97"/>
  <c r="H208" i="97"/>
  <c r="I208" i="97"/>
  <c r="H209" i="97"/>
  <c r="I209" i="97"/>
  <c r="H210" i="97"/>
  <c r="I210" i="97"/>
  <c r="H211" i="97"/>
  <c r="I211" i="97"/>
  <c r="H212" i="97"/>
  <c r="I212" i="97"/>
  <c r="H213" i="97"/>
  <c r="I213" i="97"/>
  <c r="H214" i="97"/>
  <c r="H215" i="97"/>
  <c r="I215" i="97"/>
  <c r="H217" i="97"/>
  <c r="I217" i="97"/>
  <c r="H218" i="97"/>
  <c r="I218" i="97"/>
  <c r="H219" i="97"/>
  <c r="I219" i="97"/>
  <c r="H220" i="97"/>
  <c r="I220" i="97"/>
  <c r="H221" i="97"/>
  <c r="I221" i="97"/>
  <c r="H222" i="97"/>
  <c r="I222" i="97"/>
  <c r="H223" i="97"/>
  <c r="I223" i="97"/>
  <c r="H224" i="97"/>
  <c r="I224" i="97"/>
  <c r="H225" i="97"/>
  <c r="I225" i="97"/>
  <c r="H226" i="97"/>
  <c r="I226" i="97"/>
  <c r="H227" i="97"/>
  <c r="I227" i="97"/>
  <c r="H228" i="97"/>
  <c r="I228" i="97"/>
  <c r="I229" i="97"/>
  <c r="I230" i="97"/>
  <c r="H231" i="97"/>
  <c r="I231" i="97"/>
  <c r="H232" i="97"/>
  <c r="I232" i="97"/>
  <c r="H233" i="97"/>
  <c r="I233" i="97"/>
  <c r="H234" i="97"/>
  <c r="I234" i="97"/>
  <c r="H235" i="97"/>
  <c r="I235" i="97"/>
  <c r="H237" i="97"/>
  <c r="I237" i="97"/>
  <c r="H238" i="97"/>
  <c r="H239" i="97"/>
  <c r="I239" i="97"/>
  <c r="H240" i="97"/>
  <c r="I240" i="97"/>
  <c r="H241" i="97"/>
  <c r="H242" i="97"/>
  <c r="I242" i="97"/>
  <c r="H244" i="97"/>
  <c r="H245" i="97"/>
  <c r="I245" i="97"/>
  <c r="H246" i="97"/>
  <c r="I246" i="97"/>
  <c r="H247" i="97"/>
  <c r="I247" i="97"/>
  <c r="H248" i="97"/>
  <c r="I248" i="97"/>
  <c r="H249" i="97"/>
  <c r="I249" i="97"/>
  <c r="H250" i="97"/>
  <c r="I250" i="97"/>
  <c r="I251" i="97"/>
  <c r="I254" i="97"/>
  <c r="H255" i="97"/>
  <c r="H256" i="97"/>
  <c r="I256" i="97"/>
  <c r="I257" i="97"/>
  <c r="B258" i="97"/>
  <c r="D258" i="97"/>
  <c r="E117" i="97" s="1"/>
  <c r="F258" i="97"/>
  <c r="G252" i="97" s="1"/>
  <c r="H5" i="96"/>
  <c r="I5" i="96"/>
  <c r="H6" i="96"/>
  <c r="I6" i="96"/>
  <c r="H7" i="96"/>
  <c r="I7" i="96"/>
  <c r="H8" i="96"/>
  <c r="H9" i="96"/>
  <c r="I9" i="96"/>
  <c r="H10" i="96"/>
  <c r="I10" i="96"/>
  <c r="H11" i="96"/>
  <c r="I11" i="96"/>
  <c r="H12" i="96"/>
  <c r="H13" i="96"/>
  <c r="I13" i="96"/>
  <c r="H14" i="96"/>
  <c r="I14" i="96"/>
  <c r="H15" i="96"/>
  <c r="I15" i="96"/>
  <c r="H16" i="96"/>
  <c r="I16" i="96"/>
  <c r="I17" i="96"/>
  <c r="H18" i="96"/>
  <c r="I18" i="96"/>
  <c r="H19" i="96"/>
  <c r="I19" i="96"/>
  <c r="H20" i="96"/>
  <c r="I20" i="96"/>
  <c r="H21" i="96"/>
  <c r="H22" i="96"/>
  <c r="I22" i="96"/>
  <c r="H23" i="96"/>
  <c r="I23" i="96"/>
  <c r="H25" i="96"/>
  <c r="H26" i="96"/>
  <c r="I26" i="96"/>
  <c r="H27" i="96"/>
  <c r="I27" i="96"/>
  <c r="H29" i="96"/>
  <c r="I29" i="96"/>
  <c r="I30" i="96"/>
  <c r="I31" i="96"/>
  <c r="H32" i="96"/>
  <c r="I32" i="96"/>
  <c r="H33" i="96"/>
  <c r="H36" i="96"/>
  <c r="I36" i="96"/>
  <c r="H37" i="96"/>
  <c r="I37" i="96"/>
  <c r="H38" i="96"/>
  <c r="I38" i="96"/>
  <c r="H39" i="96"/>
  <c r="I39" i="96"/>
  <c r="H40" i="96"/>
  <c r="I40" i="96"/>
  <c r="H41" i="96"/>
  <c r="I41" i="96"/>
  <c r="H43" i="96"/>
  <c r="H44" i="96"/>
  <c r="I44" i="96"/>
  <c r="H45" i="96"/>
  <c r="I45" i="96"/>
  <c r="I46" i="96"/>
  <c r="H48" i="96"/>
  <c r="I48" i="96"/>
  <c r="H49" i="96"/>
  <c r="I49" i="96"/>
  <c r="H50" i="96"/>
  <c r="I50" i="96"/>
  <c r="H51" i="96"/>
  <c r="I51" i="96"/>
  <c r="H52" i="96"/>
  <c r="I52" i="96"/>
  <c r="I53" i="96"/>
  <c r="H55" i="96"/>
  <c r="H56" i="96"/>
  <c r="I56" i="96"/>
  <c r="H57" i="96"/>
  <c r="I57" i="96"/>
  <c r="H58" i="96"/>
  <c r="I58" i="96"/>
  <c r="H59" i="96"/>
  <c r="I59" i="96"/>
  <c r="I60" i="96"/>
  <c r="H61" i="96"/>
  <c r="I61" i="96"/>
  <c r="H62" i="96"/>
  <c r="I62" i="96"/>
  <c r="I63" i="96"/>
  <c r="H64" i="96"/>
  <c r="H65" i="96"/>
  <c r="I65" i="96"/>
  <c r="H66" i="96"/>
  <c r="H67" i="96"/>
  <c r="I67" i="96"/>
  <c r="H68" i="96"/>
  <c r="I68" i="96"/>
  <c r="H69" i="96"/>
  <c r="H70" i="96"/>
  <c r="I70" i="96"/>
  <c r="H72" i="96"/>
  <c r="H74" i="96"/>
  <c r="I74" i="96"/>
  <c r="I75" i="96"/>
  <c r="I76" i="96"/>
  <c r="H80" i="96"/>
  <c r="I80" i="96"/>
  <c r="H81" i="96"/>
  <c r="I81" i="96"/>
  <c r="I82" i="96"/>
  <c r="H83" i="96"/>
  <c r="I83" i="96"/>
  <c r="H84" i="96"/>
  <c r="I84" i="96"/>
  <c r="I86" i="96"/>
  <c r="H88" i="96"/>
  <c r="H89" i="96"/>
  <c r="I89" i="96"/>
  <c r="H90" i="96"/>
  <c r="I90" i="96"/>
  <c r="H91" i="96"/>
  <c r="I91" i="96"/>
  <c r="H92" i="96"/>
  <c r="I92" i="96"/>
  <c r="I93" i="96"/>
  <c r="H94" i="96"/>
  <c r="I94" i="96"/>
  <c r="H95" i="96"/>
  <c r="I95" i="96"/>
  <c r="I96" i="96"/>
  <c r="I98" i="96"/>
  <c r="H101" i="96"/>
  <c r="I101" i="96"/>
  <c r="H102" i="96"/>
  <c r="I105" i="96"/>
  <c r="H106" i="96"/>
  <c r="I109" i="96"/>
  <c r="I110" i="96"/>
  <c r="I111" i="96"/>
  <c r="I115" i="96"/>
  <c r="I116" i="96"/>
  <c r="I117" i="96"/>
  <c r="H119" i="96"/>
  <c r="I119" i="96"/>
  <c r="I120" i="96"/>
  <c r="I122" i="96"/>
  <c r="I124" i="96"/>
  <c r="H125" i="96"/>
  <c r="I127" i="96"/>
  <c r="I128" i="96"/>
  <c r="I130" i="96"/>
  <c r="I131" i="96"/>
  <c r="H132" i="96"/>
  <c r="B133" i="96"/>
  <c r="C65" i="96" s="1"/>
  <c r="D133" i="96"/>
  <c r="E60" i="96" s="1"/>
  <c r="F133" i="96"/>
  <c r="G21" i="96" s="1"/>
  <c r="H4" i="95"/>
  <c r="L4" i="95" s="1"/>
  <c r="H5" i="95"/>
  <c r="L5" i="95" s="1"/>
  <c r="H6" i="95"/>
  <c r="K6" i="95" s="1"/>
  <c r="H7" i="95"/>
  <c r="H8" i="95"/>
  <c r="K8" i="95" s="1"/>
  <c r="H9" i="95"/>
  <c r="K9" i="95" s="1"/>
  <c r="H10" i="95"/>
  <c r="L10" i="95" s="1"/>
  <c r="H11" i="95"/>
  <c r="K11" i="95" s="1"/>
  <c r="H12" i="95"/>
  <c r="K12" i="95" s="1"/>
  <c r="H13" i="95"/>
  <c r="L13" i="95" s="1"/>
  <c r="H14" i="95"/>
  <c r="L14" i="95" s="1"/>
  <c r="H15" i="95"/>
  <c r="H16" i="95"/>
  <c r="K16" i="95" s="1"/>
  <c r="H17" i="95"/>
  <c r="K17" i="95" s="1"/>
  <c r="H18" i="95"/>
  <c r="L18" i="95" s="1"/>
  <c r="H19" i="95"/>
  <c r="K19" i="95" s="1"/>
  <c r="L19" i="95"/>
  <c r="H20" i="95"/>
  <c r="K20" i="95" s="1"/>
  <c r="H21" i="95"/>
  <c r="K21" i="95" s="1"/>
  <c r="H22" i="95"/>
  <c r="L22" i="95" s="1"/>
  <c r="H23" i="95"/>
  <c r="H24" i="95"/>
  <c r="K24" i="95" s="1"/>
  <c r="H25" i="95"/>
  <c r="K25" i="95" s="1"/>
  <c r="H26" i="95"/>
  <c r="L26" i="95" s="1"/>
  <c r="H27" i="95"/>
  <c r="L27" i="95" s="1"/>
  <c r="H28" i="95"/>
  <c r="L28" i="95" s="1"/>
  <c r="H29" i="95"/>
  <c r="K29" i="95" s="1"/>
  <c r="H30" i="95"/>
  <c r="K30" i="95" s="1"/>
  <c r="H31" i="95"/>
  <c r="H32" i="95"/>
  <c r="K32" i="95" s="1"/>
  <c r="H33" i="95"/>
  <c r="K33" i="95" s="1"/>
  <c r="H34" i="95"/>
  <c r="L34" i="95" s="1"/>
  <c r="H35" i="95"/>
  <c r="K35" i="95" s="1"/>
  <c r="L35" i="95"/>
  <c r="H36" i="95"/>
  <c r="L36" i="95" s="1"/>
  <c r="H37" i="95"/>
  <c r="L37" i="95" s="1"/>
  <c r="H38" i="95"/>
  <c r="K38" i="95" s="1"/>
  <c r="H39" i="95"/>
  <c r="H40" i="95"/>
  <c r="K40" i="95" s="1"/>
  <c r="H41" i="95"/>
  <c r="K41" i="95" s="1"/>
  <c r="H42" i="95"/>
  <c r="L42" i="95" s="1"/>
  <c r="H43" i="95"/>
  <c r="K43" i="95" s="1"/>
  <c r="H44" i="95"/>
  <c r="L44" i="95" s="1"/>
  <c r="H45" i="95"/>
  <c r="K45" i="95" s="1"/>
  <c r="H46" i="95"/>
  <c r="K46" i="95" s="1"/>
  <c r="H47" i="95"/>
  <c r="H48" i="95"/>
  <c r="K48" i="95" s="1"/>
  <c r="H49" i="95"/>
  <c r="K49" i="95" s="1"/>
  <c r="H50" i="95"/>
  <c r="L50" i="95" s="1"/>
  <c r="H51" i="95"/>
  <c r="K51" i="95" s="1"/>
  <c r="H52" i="95"/>
  <c r="L52" i="95" s="1"/>
  <c r="H53" i="95"/>
  <c r="K53" i="95" s="1"/>
  <c r="H54" i="95"/>
  <c r="K54" i="95" s="1"/>
  <c r="L54" i="95"/>
  <c r="H55" i="95"/>
  <c r="H56" i="95"/>
  <c r="K56" i="95" s="1"/>
  <c r="H57" i="95"/>
  <c r="K57" i="95" s="1"/>
  <c r="H58" i="95"/>
  <c r="L58" i="95" s="1"/>
  <c r="H59" i="95"/>
  <c r="K59" i="95" s="1"/>
  <c r="H60" i="95"/>
  <c r="L60" i="95" s="1"/>
  <c r="H61" i="95"/>
  <c r="K61" i="95" s="1"/>
  <c r="L61" i="95"/>
  <c r="H62" i="95"/>
  <c r="K62" i="95" s="1"/>
  <c r="L62" i="95"/>
  <c r="H63" i="95"/>
  <c r="H64" i="95"/>
  <c r="H65" i="95"/>
  <c r="H66" i="95"/>
  <c r="L66" i="95" s="1"/>
  <c r="H67" i="95"/>
  <c r="K67" i="95" s="1"/>
  <c r="H68" i="95"/>
  <c r="K68" i="95" s="1"/>
  <c r="H69" i="95"/>
  <c r="K69" i="95" s="1"/>
  <c r="H70" i="95"/>
  <c r="K70" i="95" s="1"/>
  <c r="H71" i="95"/>
  <c r="H72" i="95"/>
  <c r="H73" i="95"/>
  <c r="H74" i="95"/>
  <c r="L74" i="95" s="1"/>
  <c r="K74" i="95"/>
  <c r="H75" i="95"/>
  <c r="K75" i="95" s="1"/>
  <c r="H76" i="95"/>
  <c r="K76" i="95" s="1"/>
  <c r="H77" i="95"/>
  <c r="K77" i="95" s="1"/>
  <c r="H78" i="95"/>
  <c r="K78" i="95" s="1"/>
  <c r="H79" i="95"/>
  <c r="H80" i="95"/>
  <c r="H81" i="95"/>
  <c r="H82" i="95"/>
  <c r="K82" i="95" s="1"/>
  <c r="H83" i="95"/>
  <c r="K83" i="95" s="1"/>
  <c r="H84" i="95"/>
  <c r="L84" i="95" s="1"/>
  <c r="H85" i="95"/>
  <c r="K85" i="95" s="1"/>
  <c r="H86" i="95"/>
  <c r="K86" i="95" s="1"/>
  <c r="H87" i="95"/>
  <c r="H88" i="95"/>
  <c r="H89" i="95"/>
  <c r="H90" i="95"/>
  <c r="L90" i="95" s="1"/>
  <c r="H91" i="95"/>
  <c r="L91" i="95" s="1"/>
  <c r="H92" i="95"/>
  <c r="H93" i="95"/>
  <c r="K93" i="95" s="1"/>
  <c r="H94" i="95"/>
  <c r="K94" i="95" s="1"/>
  <c r="H95" i="95"/>
  <c r="H96" i="95"/>
  <c r="H97" i="95"/>
  <c r="H98" i="95"/>
  <c r="K98" i="95" s="1"/>
  <c r="H99" i="95"/>
  <c r="L99" i="95" s="1"/>
  <c r="K99" i="95"/>
  <c r="H100" i="95"/>
  <c r="L100" i="95" s="1"/>
  <c r="H101" i="95"/>
  <c r="K101" i="95" s="1"/>
  <c r="H102" i="95"/>
  <c r="K102" i="95" s="1"/>
  <c r="H103" i="95"/>
  <c r="H104" i="95"/>
  <c r="H105" i="95"/>
  <c r="H106" i="95"/>
  <c r="L106" i="95" s="1"/>
  <c r="H107" i="95"/>
  <c r="L107" i="95" s="1"/>
  <c r="H108" i="95"/>
  <c r="K108" i="95" s="1"/>
  <c r="L108" i="95"/>
  <c r="H109" i="95"/>
  <c r="K109" i="95" s="1"/>
  <c r="H110" i="95"/>
  <c r="K110" i="95" s="1"/>
  <c r="H111" i="95"/>
  <c r="H112" i="95"/>
  <c r="H113" i="95"/>
  <c r="H114" i="95"/>
  <c r="H115" i="95"/>
  <c r="L115" i="95" s="1"/>
  <c r="K115" i="95"/>
  <c r="H116" i="95"/>
  <c r="K116" i="95" s="1"/>
  <c r="H117" i="95"/>
  <c r="H118" i="95"/>
  <c r="H119" i="95"/>
  <c r="L119" i="95" s="1"/>
  <c r="H120" i="95"/>
  <c r="K120" i="95" s="1"/>
  <c r="H121" i="95"/>
  <c r="K121" i="95" s="1"/>
  <c r="H122" i="95"/>
  <c r="L122" i="95" s="1"/>
  <c r="H123" i="95"/>
  <c r="L123" i="95" s="1"/>
  <c r="H124" i="95"/>
  <c r="L124" i="95" s="1"/>
  <c r="H125" i="95"/>
  <c r="K125" i="95" s="1"/>
  <c r="H126" i="95"/>
  <c r="K126" i="95" s="1"/>
  <c r="H127" i="95"/>
  <c r="H128" i="95"/>
  <c r="K128" i="95" s="1"/>
  <c r="L128" i="95"/>
  <c r="H129" i="95"/>
  <c r="K129" i="95" s="1"/>
  <c r="H130" i="95"/>
  <c r="H131" i="95"/>
  <c r="K131" i="95" s="1"/>
  <c r="H132" i="95"/>
  <c r="L132" i="95" s="1"/>
  <c r="H133" i="95"/>
  <c r="H134" i="95"/>
  <c r="K134" i="95" s="1"/>
  <c r="H135" i="95"/>
  <c r="L135" i="95" s="1"/>
  <c r="H136" i="95"/>
  <c r="L136" i="95" s="1"/>
  <c r="H137" i="95"/>
  <c r="K137" i="95" s="1"/>
  <c r="H138" i="95"/>
  <c r="H139" i="95"/>
  <c r="L139" i="95"/>
  <c r="H140" i="95"/>
  <c r="L140" i="95" s="1"/>
  <c r="K140" i="95"/>
  <c r="H141" i="95"/>
  <c r="L141" i="95" s="1"/>
  <c r="H142" i="95"/>
  <c r="H143" i="95"/>
  <c r="H144" i="95"/>
  <c r="H145" i="95"/>
  <c r="H146" i="95"/>
  <c r="L146" i="95" s="1"/>
  <c r="H147" i="95"/>
  <c r="K147" i="95" s="1"/>
  <c r="H148" i="95"/>
  <c r="H149" i="95"/>
  <c r="L149" i="95" s="1"/>
  <c r="H150" i="95"/>
  <c r="L150" i="95" s="1"/>
  <c r="H151" i="95"/>
  <c r="K151" i="95" s="1"/>
  <c r="H152" i="95"/>
  <c r="L152" i="95" s="1"/>
  <c r="H153" i="95"/>
  <c r="L153" i="95" s="1"/>
  <c r="H154" i="95"/>
  <c r="H155" i="95"/>
  <c r="H156" i="95"/>
  <c r="H157" i="95"/>
  <c r="K157" i="95" s="1"/>
  <c r="H158" i="95"/>
  <c r="K158" i="95" s="1"/>
  <c r="H159" i="95"/>
  <c r="H160" i="95"/>
  <c r="K160" i="95" s="1"/>
  <c r="H161" i="95"/>
  <c r="K161" i="95" s="1"/>
  <c r="H162" i="95"/>
  <c r="L162" i="95" s="1"/>
  <c r="H163" i="95"/>
  <c r="L163" i="95" s="1"/>
  <c r="H164" i="95"/>
  <c r="L164" i="95" s="1"/>
  <c r="H165" i="95"/>
  <c r="L165" i="95" s="1"/>
  <c r="H166" i="95"/>
  <c r="K166" i="95" s="1"/>
  <c r="H167" i="95"/>
  <c r="L167" i="95" s="1"/>
  <c r="H168" i="95"/>
  <c r="H169" i="95"/>
  <c r="L169" i="95" s="1"/>
  <c r="H170" i="95"/>
  <c r="L170" i="95" s="1"/>
  <c r="H171" i="95"/>
  <c r="H172" i="95"/>
  <c r="K172" i="95" s="1"/>
  <c r="H173" i="95"/>
  <c r="K173" i="95" s="1"/>
  <c r="H174" i="95"/>
  <c r="K174" i="95" s="1"/>
  <c r="H175" i="95"/>
  <c r="L175" i="95" s="1"/>
  <c r="H176" i="95"/>
  <c r="K176" i="95" s="1"/>
  <c r="H177" i="95"/>
  <c r="H178" i="95"/>
  <c r="K178" i="95"/>
  <c r="L178" i="95"/>
  <c r="H179" i="95"/>
  <c r="K179" i="95" s="1"/>
  <c r="H180" i="95"/>
  <c r="K180" i="95" s="1"/>
  <c r="H181" i="95"/>
  <c r="L181" i="95" s="1"/>
  <c r="H182" i="95"/>
  <c r="K182" i="95"/>
  <c r="L182" i="95"/>
  <c r="H183" i="95"/>
  <c r="L183" i="95" s="1"/>
  <c r="H184" i="95"/>
  <c r="L184" i="95" s="1"/>
  <c r="H185" i="95"/>
  <c r="H186" i="95"/>
  <c r="H187" i="95"/>
  <c r="H188" i="95"/>
  <c r="L188" i="95" s="1"/>
  <c r="H189" i="95"/>
  <c r="L189" i="95" s="1"/>
  <c r="H190" i="95"/>
  <c r="K190" i="95" s="1"/>
  <c r="H191" i="95"/>
  <c r="L191" i="95" s="1"/>
  <c r="K191" i="95"/>
  <c r="H192" i="95"/>
  <c r="H193" i="95"/>
  <c r="K193" i="95" s="1"/>
  <c r="H194" i="95"/>
  <c r="H195" i="95"/>
  <c r="L195" i="95" s="1"/>
  <c r="K195" i="95"/>
  <c r="H196" i="95"/>
  <c r="L196" i="95" s="1"/>
  <c r="H197" i="95"/>
  <c r="H198" i="95"/>
  <c r="L198" i="95" s="1"/>
  <c r="H199" i="95"/>
  <c r="L199" i="95" s="1"/>
  <c r="H200" i="95"/>
  <c r="H201" i="95"/>
  <c r="K201" i="95" s="1"/>
  <c r="H202" i="95"/>
  <c r="H203" i="95"/>
  <c r="L203" i="95" s="1"/>
  <c r="H204" i="95"/>
  <c r="K204" i="95" s="1"/>
  <c r="H205" i="95"/>
  <c r="H206" i="95"/>
  <c r="H207" i="95"/>
  <c r="H208" i="95"/>
  <c r="H209" i="95"/>
  <c r="H210" i="95"/>
  <c r="K210" i="95" s="1"/>
  <c r="H211" i="95"/>
  <c r="C212" i="95"/>
  <c r="H212" i="95"/>
  <c r="H213" i="95"/>
  <c r="L213" i="95" s="1"/>
  <c r="H214" i="95"/>
  <c r="H215" i="95"/>
  <c r="H216" i="95"/>
  <c r="H217" i="95"/>
  <c r="H218" i="95"/>
  <c r="H219" i="95"/>
  <c r="H220" i="95"/>
  <c r="H221" i="95"/>
  <c r="H222" i="95"/>
  <c r="H223" i="95"/>
  <c r="H224" i="95"/>
  <c r="H225" i="95"/>
  <c r="H226" i="95"/>
  <c r="H227" i="95"/>
  <c r="C228" i="95"/>
  <c r="H228" i="95"/>
  <c r="H229" i="95"/>
  <c r="H230" i="95"/>
  <c r="H231" i="95"/>
  <c r="K231" i="95" s="1"/>
  <c r="H232" i="95"/>
  <c r="H233" i="95"/>
  <c r="H234" i="95"/>
  <c r="H235" i="95"/>
  <c r="H236" i="95"/>
  <c r="K236" i="95" s="1"/>
  <c r="H237" i="95"/>
  <c r="L237" i="95" s="1"/>
  <c r="H238" i="95"/>
  <c r="H239" i="95"/>
  <c r="L239" i="95" s="1"/>
  <c r="H240" i="95"/>
  <c r="L240" i="95" s="1"/>
  <c r="H241" i="95"/>
  <c r="H242" i="95"/>
  <c r="L242" i="95" s="1"/>
  <c r="H243" i="95"/>
  <c r="B245" i="95"/>
  <c r="D245" i="95"/>
  <c r="F245" i="95"/>
  <c r="G245" i="95"/>
  <c r="H4" i="94"/>
  <c r="I4" i="94"/>
  <c r="H5" i="94"/>
  <c r="I5" i="94"/>
  <c r="H6" i="94"/>
  <c r="I6" i="94"/>
  <c r="H7" i="94"/>
  <c r="I7" i="94"/>
  <c r="H8" i="94"/>
  <c r="I8" i="94"/>
  <c r="H9" i="94"/>
  <c r="I9" i="94"/>
  <c r="H10" i="94"/>
  <c r="I10" i="94"/>
  <c r="H11" i="94"/>
  <c r="I11" i="94"/>
  <c r="H12" i="94"/>
  <c r="I12" i="94"/>
  <c r="H13" i="94"/>
  <c r="I13" i="94"/>
  <c r="H14" i="94"/>
  <c r="I14" i="94"/>
  <c r="H16" i="94"/>
  <c r="I16" i="94"/>
  <c r="H17" i="94"/>
  <c r="I17" i="94"/>
  <c r="H18" i="94"/>
  <c r="I18" i="94"/>
  <c r="H19" i="94"/>
  <c r="I19" i="94"/>
  <c r="H20" i="94"/>
  <c r="I20" i="94"/>
  <c r="H21" i="94"/>
  <c r="I21" i="94"/>
  <c r="H22" i="94"/>
  <c r="I22" i="94"/>
  <c r="H23" i="94"/>
  <c r="I23" i="94"/>
  <c r="H24" i="94"/>
  <c r="I24" i="94"/>
  <c r="H25" i="94"/>
  <c r="I25" i="94"/>
  <c r="H26" i="94"/>
  <c r="I26" i="94"/>
  <c r="H27" i="94"/>
  <c r="I27" i="94"/>
  <c r="H28" i="94"/>
  <c r="I28" i="94"/>
  <c r="H29" i="94"/>
  <c r="I29" i="94"/>
  <c r="H30" i="94"/>
  <c r="I30" i="94"/>
  <c r="H31" i="94"/>
  <c r="I31" i="94"/>
  <c r="H32" i="94"/>
  <c r="I32" i="94"/>
  <c r="H33" i="94"/>
  <c r="I33" i="94"/>
  <c r="H34" i="94"/>
  <c r="I34" i="94"/>
  <c r="H35" i="94"/>
  <c r="I35" i="94"/>
  <c r="H36" i="94"/>
  <c r="I36" i="94"/>
  <c r="H37" i="94"/>
  <c r="I37" i="94"/>
  <c r="H38" i="94"/>
  <c r="I38" i="94"/>
  <c r="H39" i="94"/>
  <c r="H40" i="94"/>
  <c r="I40" i="94"/>
  <c r="H41" i="94"/>
  <c r="I41" i="94"/>
  <c r="H42" i="94"/>
  <c r="I42" i="94"/>
  <c r="H43" i="94"/>
  <c r="I43" i="94"/>
  <c r="H44" i="94"/>
  <c r="I44" i="94"/>
  <c r="H45" i="94"/>
  <c r="I45" i="94"/>
  <c r="H46" i="94"/>
  <c r="I46" i="94"/>
  <c r="H47" i="94"/>
  <c r="I47" i="94"/>
  <c r="H48" i="94"/>
  <c r="I48" i="94"/>
  <c r="H49" i="94"/>
  <c r="I49" i="94"/>
  <c r="H50" i="94"/>
  <c r="I50" i="94"/>
  <c r="H51" i="94"/>
  <c r="I51" i="94"/>
  <c r="I52" i="94"/>
  <c r="H53" i="94"/>
  <c r="I53" i="94"/>
  <c r="H54" i="94"/>
  <c r="I54" i="94"/>
  <c r="H55" i="94"/>
  <c r="H56" i="94"/>
  <c r="I56" i="94"/>
  <c r="H57" i="94"/>
  <c r="I57" i="94"/>
  <c r="H58" i="94"/>
  <c r="I58" i="94"/>
  <c r="H59" i="94"/>
  <c r="I59" i="94"/>
  <c r="I61" i="94"/>
  <c r="H62" i="94"/>
  <c r="I62" i="94"/>
  <c r="H64" i="94"/>
  <c r="H65" i="94"/>
  <c r="I65" i="94"/>
  <c r="H66" i="94"/>
  <c r="I66" i="94"/>
  <c r="H67" i="94"/>
  <c r="I67" i="94"/>
  <c r="I68" i="94"/>
  <c r="H69" i="94"/>
  <c r="I69" i="94"/>
  <c r="H70" i="94"/>
  <c r="I70" i="94"/>
  <c r="H71" i="94"/>
  <c r="I71" i="94"/>
  <c r="H72" i="94"/>
  <c r="H73" i="94"/>
  <c r="I73" i="94"/>
  <c r="H74" i="94"/>
  <c r="I74" i="94"/>
  <c r="H75" i="94"/>
  <c r="I75" i="94"/>
  <c r="H76" i="94"/>
  <c r="I76" i="94"/>
  <c r="H77" i="94"/>
  <c r="I77" i="94"/>
  <c r="H78" i="94"/>
  <c r="I78" i="94"/>
  <c r="H79" i="94"/>
  <c r="H80" i="94"/>
  <c r="I80" i="94"/>
  <c r="H81" i="94"/>
  <c r="I81" i="94"/>
  <c r="I82" i="94"/>
  <c r="H83" i="94"/>
  <c r="I83" i="94"/>
  <c r="H84" i="94"/>
  <c r="I84" i="94"/>
  <c r="H85" i="94"/>
  <c r="I85" i="94"/>
  <c r="H86" i="94"/>
  <c r="I86" i="94"/>
  <c r="H87" i="94"/>
  <c r="I87" i="94"/>
  <c r="H88" i="94"/>
  <c r="I88" i="94"/>
  <c r="H90" i="94"/>
  <c r="I90" i="94"/>
  <c r="H91" i="94"/>
  <c r="I91" i="94"/>
  <c r="H92" i="94"/>
  <c r="I92" i="94"/>
  <c r="H93" i="94"/>
  <c r="I93" i="94"/>
  <c r="H94" i="94"/>
  <c r="H95" i="94"/>
  <c r="I95" i="94"/>
  <c r="H96" i="94"/>
  <c r="I96" i="94"/>
  <c r="H97" i="94"/>
  <c r="I97" i="94"/>
  <c r="H98" i="94"/>
  <c r="I99" i="94"/>
  <c r="H100" i="94"/>
  <c r="H101" i="94"/>
  <c r="I101" i="94"/>
  <c r="H102" i="94"/>
  <c r="I102" i="94"/>
  <c r="H104" i="94"/>
  <c r="I104" i="94"/>
  <c r="I105" i="94"/>
  <c r="H106" i="94"/>
  <c r="I106" i="94"/>
  <c r="H107" i="94"/>
  <c r="I107" i="94"/>
  <c r="H108" i="94"/>
  <c r="I108" i="94"/>
  <c r="H110" i="94"/>
  <c r="H111" i="94"/>
  <c r="H116" i="94"/>
  <c r="H117" i="94"/>
  <c r="I117" i="94"/>
  <c r="I118" i="94"/>
  <c r="I119" i="94"/>
  <c r="H120" i="94"/>
  <c r="I120" i="94"/>
  <c r="H124" i="94"/>
  <c r="I127" i="94"/>
  <c r="H128" i="94"/>
  <c r="I128" i="94"/>
  <c r="I138" i="94"/>
  <c r="H139" i="94"/>
  <c r="H149" i="94"/>
  <c r="H158" i="94"/>
  <c r="I167" i="94"/>
  <c r="H169" i="94"/>
  <c r="B187" i="94"/>
  <c r="C4" i="94" s="1"/>
  <c r="D187" i="94"/>
  <c r="E7" i="94" s="1"/>
  <c r="F187" i="94"/>
  <c r="H4" i="93"/>
  <c r="I4" i="93"/>
  <c r="H5" i="93"/>
  <c r="I5" i="93"/>
  <c r="H6" i="93"/>
  <c r="I6" i="93"/>
  <c r="H7" i="93"/>
  <c r="I7" i="93"/>
  <c r="I8" i="93"/>
  <c r="H9" i="93"/>
  <c r="I9" i="93"/>
  <c r="H10" i="93"/>
  <c r="I10" i="93"/>
  <c r="H11" i="93"/>
  <c r="I11" i="93"/>
  <c r="H12" i="93"/>
  <c r="I12" i="93"/>
  <c r="H13" i="93"/>
  <c r="I13" i="93"/>
  <c r="H14" i="93"/>
  <c r="I14" i="93"/>
  <c r="H15" i="93"/>
  <c r="I15" i="93"/>
  <c r="H16" i="93"/>
  <c r="I16" i="93"/>
  <c r="H17" i="93"/>
  <c r="I17" i="93"/>
  <c r="H18" i="93"/>
  <c r="I18" i="93"/>
  <c r="H19" i="93"/>
  <c r="I19" i="93"/>
  <c r="H20" i="93"/>
  <c r="I20" i="93"/>
  <c r="H21" i="93"/>
  <c r="H22" i="93"/>
  <c r="I22" i="93"/>
  <c r="H23" i="93"/>
  <c r="I23" i="93"/>
  <c r="H24" i="93"/>
  <c r="I24" i="93"/>
  <c r="H25" i="93"/>
  <c r="I25" i="93"/>
  <c r="H26" i="93"/>
  <c r="I26" i="93"/>
  <c r="H27" i="93"/>
  <c r="I27" i="93"/>
  <c r="H28" i="93"/>
  <c r="I28" i="93"/>
  <c r="H29" i="93"/>
  <c r="I29" i="93"/>
  <c r="H30" i="93"/>
  <c r="H31" i="93"/>
  <c r="I31" i="93"/>
  <c r="H32" i="93"/>
  <c r="I32" i="93"/>
  <c r="H33" i="93"/>
  <c r="I33" i="93"/>
  <c r="H34" i="93"/>
  <c r="I34" i="93"/>
  <c r="I35" i="93"/>
  <c r="H36" i="93"/>
  <c r="I36" i="93"/>
  <c r="H37" i="93"/>
  <c r="I37" i="93"/>
  <c r="H38" i="93"/>
  <c r="I38" i="93"/>
  <c r="H39" i="93"/>
  <c r="I39" i="93"/>
  <c r="H40" i="93"/>
  <c r="I40" i="93"/>
  <c r="I41" i="93"/>
  <c r="H42" i="93"/>
  <c r="I42" i="93"/>
  <c r="H44" i="93"/>
  <c r="I44" i="93"/>
  <c r="H46" i="93"/>
  <c r="I46" i="93"/>
  <c r="H48" i="93"/>
  <c r="H51" i="93"/>
  <c r="I51" i="93"/>
  <c r="H55" i="93"/>
  <c r="I55" i="93"/>
  <c r="H56" i="93"/>
  <c r="H57" i="93"/>
  <c r="I57" i="93"/>
  <c r="H58" i="93"/>
  <c r="H59" i="93"/>
  <c r="H61" i="93"/>
  <c r="H62" i="93"/>
  <c r="H63" i="93"/>
  <c r="I63" i="93"/>
  <c r="I64" i="93"/>
  <c r="I65" i="93"/>
  <c r="H66" i="93"/>
  <c r="H68" i="93"/>
  <c r="I68" i="93"/>
  <c r="H71" i="93"/>
  <c r="I71" i="93"/>
  <c r="H73" i="93"/>
  <c r="I73" i="93"/>
  <c r="I77" i="93"/>
  <c r="I82" i="93"/>
  <c r="H84" i="93"/>
  <c r="H91" i="93"/>
  <c r="H107" i="93"/>
  <c r="I108" i="93"/>
  <c r="I118" i="93"/>
  <c r="I121" i="93"/>
  <c r="I124" i="93"/>
  <c r="I127" i="93"/>
  <c r="B132" i="93"/>
  <c r="C10" i="93" s="1"/>
  <c r="D132" i="93"/>
  <c r="E42" i="93" s="1"/>
  <c r="F132" i="93"/>
  <c r="G84" i="93" s="1"/>
  <c r="D3" i="92"/>
  <c r="D4" i="92"/>
  <c r="D5" i="92"/>
  <c r="D6" i="92"/>
  <c r="D7" i="92"/>
  <c r="D8" i="92"/>
  <c r="D9" i="92"/>
  <c r="D10" i="92"/>
  <c r="D11" i="92"/>
  <c r="D12" i="92"/>
  <c r="D13" i="92"/>
  <c r="D14" i="92"/>
  <c r="D15" i="92"/>
  <c r="D16" i="92"/>
  <c r="D17" i="92"/>
  <c r="D18" i="92"/>
  <c r="D19" i="92"/>
  <c r="D20" i="92"/>
  <c r="D21" i="92"/>
  <c r="D22" i="92"/>
  <c r="D23" i="92"/>
  <c r="D24" i="92"/>
  <c r="D25" i="92"/>
  <c r="D26" i="92"/>
  <c r="D27" i="92"/>
  <c r="D28" i="92"/>
  <c r="D29" i="92"/>
  <c r="D30" i="92"/>
  <c r="D31" i="92"/>
  <c r="D32" i="92"/>
  <c r="D33" i="92"/>
  <c r="D34" i="92"/>
  <c r="D35" i="92"/>
  <c r="D36" i="92"/>
  <c r="D37" i="92"/>
  <c r="D38" i="92"/>
  <c r="D39" i="92"/>
  <c r="D40" i="92"/>
  <c r="D41" i="92"/>
  <c r="D42" i="92"/>
  <c r="D43" i="92"/>
  <c r="D44" i="92"/>
  <c r="D45" i="92"/>
  <c r="D46" i="92"/>
  <c r="D47" i="92"/>
  <c r="D48" i="92"/>
  <c r="D49" i="92"/>
  <c r="D50" i="92"/>
  <c r="D51" i="92"/>
  <c r="D52" i="92"/>
  <c r="D53" i="92"/>
  <c r="D54" i="92"/>
  <c r="D55" i="92"/>
  <c r="D56" i="92"/>
  <c r="D57" i="92"/>
  <c r="D58" i="92"/>
  <c r="D59" i="92"/>
  <c r="D60" i="92"/>
  <c r="D61" i="92"/>
  <c r="D62" i="92"/>
  <c r="D63" i="92"/>
  <c r="D64" i="92"/>
  <c r="D65" i="92"/>
  <c r="D66" i="92"/>
  <c r="D67" i="92"/>
  <c r="D68" i="92"/>
  <c r="D69" i="92"/>
  <c r="D70" i="92"/>
  <c r="D71" i="92"/>
  <c r="D72" i="92"/>
  <c r="D73" i="92"/>
  <c r="D74" i="92"/>
  <c r="D75" i="92"/>
  <c r="D76" i="92"/>
  <c r="D77" i="92"/>
  <c r="D78" i="92"/>
  <c r="D79" i="92"/>
  <c r="D80" i="92"/>
  <c r="D81" i="92"/>
  <c r="D82" i="92"/>
  <c r="D83" i="92"/>
  <c r="D84" i="92"/>
  <c r="D85" i="92"/>
  <c r="D86" i="92"/>
  <c r="D87" i="92"/>
  <c r="D88" i="92"/>
  <c r="D89" i="92"/>
  <c r="D90" i="92"/>
  <c r="D91" i="92"/>
  <c r="D92" i="92"/>
  <c r="D93" i="92"/>
  <c r="D94" i="92"/>
  <c r="D95" i="92"/>
  <c r="D96" i="92"/>
  <c r="D97" i="92"/>
  <c r="D98" i="92"/>
  <c r="D99" i="92"/>
  <c r="D100" i="92"/>
  <c r="D101" i="92"/>
  <c r="D102" i="92"/>
  <c r="D103" i="92"/>
  <c r="D104" i="92"/>
  <c r="D105" i="92"/>
  <c r="D106" i="92"/>
  <c r="D107" i="92"/>
  <c r="D108" i="92"/>
  <c r="D109" i="92"/>
  <c r="D110" i="92"/>
  <c r="D111" i="92"/>
  <c r="D112" i="92"/>
  <c r="D113" i="92"/>
  <c r="D114" i="92"/>
  <c r="D115" i="92"/>
  <c r="D116" i="92"/>
  <c r="D117" i="92"/>
  <c r="D118" i="92"/>
  <c r="D119" i="92"/>
  <c r="D120" i="92"/>
  <c r="D121" i="92"/>
  <c r="D122" i="92"/>
  <c r="D123" i="92"/>
  <c r="D124" i="92"/>
  <c r="D125" i="92"/>
  <c r="D126" i="92"/>
  <c r="D127" i="92"/>
  <c r="D128" i="92"/>
  <c r="D129" i="92"/>
  <c r="D130" i="92"/>
  <c r="D131" i="92"/>
  <c r="D132" i="92"/>
  <c r="D133" i="92"/>
  <c r="D134" i="92"/>
  <c r="D135" i="92"/>
  <c r="D136" i="92"/>
  <c r="D137" i="92"/>
  <c r="D138" i="92"/>
  <c r="D139" i="92"/>
  <c r="D140" i="92"/>
  <c r="D141" i="92"/>
  <c r="D142" i="92"/>
  <c r="D143" i="92"/>
  <c r="D144" i="92"/>
  <c r="D145" i="92"/>
  <c r="D146" i="92"/>
  <c r="D147" i="92"/>
  <c r="D148" i="92"/>
  <c r="D149" i="92"/>
  <c r="D150" i="92"/>
  <c r="D151" i="92"/>
  <c r="D152" i="92"/>
  <c r="D153" i="92"/>
  <c r="D154" i="92"/>
  <c r="D155" i="92"/>
  <c r="D156" i="92"/>
  <c r="D157" i="92"/>
  <c r="D158" i="92"/>
  <c r="D159" i="92"/>
  <c r="D160" i="92"/>
  <c r="D161" i="92"/>
  <c r="D162" i="92"/>
  <c r="D163" i="92"/>
  <c r="D164" i="92"/>
  <c r="D165" i="92"/>
  <c r="D166" i="92"/>
  <c r="D167" i="92"/>
  <c r="D168" i="92"/>
  <c r="D169" i="92"/>
  <c r="D170" i="92"/>
  <c r="D171" i="92"/>
  <c r="D172" i="92"/>
  <c r="D173" i="92"/>
  <c r="D174" i="92"/>
  <c r="D175" i="92"/>
  <c r="D176" i="92"/>
  <c r="D177" i="92"/>
  <c r="D178" i="92"/>
  <c r="D179" i="92"/>
  <c r="D180" i="92"/>
  <c r="D181" i="92"/>
  <c r="D182" i="92"/>
  <c r="D183" i="92"/>
  <c r="D184" i="92"/>
  <c r="D185" i="92"/>
  <c r="D186" i="92"/>
  <c r="D187" i="92"/>
  <c r="D188" i="92"/>
  <c r="D189" i="92"/>
  <c r="D190" i="92"/>
  <c r="D191" i="92"/>
  <c r="D192" i="92"/>
  <c r="D193" i="92"/>
  <c r="D194" i="92"/>
  <c r="D195" i="92"/>
  <c r="D196" i="92"/>
  <c r="D197" i="92"/>
  <c r="D198" i="92"/>
  <c r="D199" i="92"/>
  <c r="D200" i="92"/>
  <c r="D201" i="92"/>
  <c r="D202" i="92"/>
  <c r="D203" i="92"/>
  <c r="D204" i="92"/>
  <c r="D205" i="92"/>
  <c r="D206" i="92"/>
  <c r="D207" i="92"/>
  <c r="D208" i="92"/>
  <c r="D209" i="92"/>
  <c r="D210" i="92"/>
  <c r="D211" i="92"/>
  <c r="D212" i="92"/>
  <c r="D213" i="92"/>
  <c r="D214" i="92"/>
  <c r="D215" i="92"/>
  <c r="D216" i="92"/>
  <c r="D217" i="92"/>
  <c r="D218" i="92"/>
  <c r="D219" i="92"/>
  <c r="D220" i="92"/>
  <c r="D221" i="92"/>
  <c r="D222" i="92"/>
  <c r="D223" i="92"/>
  <c r="D224" i="92"/>
  <c r="D225" i="92"/>
  <c r="D226" i="92"/>
  <c r="D227" i="92"/>
  <c r="D228" i="92"/>
  <c r="D229" i="92"/>
  <c r="D230" i="92"/>
  <c r="D231" i="92"/>
  <c r="D232" i="92"/>
  <c r="D233" i="92"/>
  <c r="D234" i="92"/>
  <c r="D235" i="92"/>
  <c r="D236" i="92"/>
  <c r="D237" i="92"/>
  <c r="D238" i="92"/>
  <c r="D239" i="92"/>
  <c r="D240" i="92"/>
  <c r="D241" i="92"/>
  <c r="D242" i="92"/>
  <c r="D243" i="92"/>
  <c r="D244" i="92"/>
  <c r="D245" i="92"/>
  <c r="D246" i="92"/>
  <c r="D247" i="92"/>
  <c r="D248" i="92"/>
  <c r="D249" i="92"/>
  <c r="D250" i="92"/>
  <c r="D251" i="92"/>
  <c r="D252" i="92"/>
  <c r="D253" i="92"/>
  <c r="D254" i="92"/>
  <c r="D255" i="92"/>
  <c r="D256" i="92"/>
  <c r="D257" i="92"/>
  <c r="D258" i="92"/>
  <c r="B259" i="92"/>
  <c r="C259" i="92"/>
  <c r="D3" i="91"/>
  <c r="D4" i="91"/>
  <c r="D5" i="91"/>
  <c r="D6" i="91"/>
  <c r="D7" i="91"/>
  <c r="D8" i="91"/>
  <c r="D9" i="91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D104" i="91"/>
  <c r="D105" i="91"/>
  <c r="D106" i="91"/>
  <c r="D107" i="91"/>
  <c r="D108" i="91"/>
  <c r="D109" i="91"/>
  <c r="D110" i="91"/>
  <c r="D111" i="91"/>
  <c r="D112" i="91"/>
  <c r="D113" i="91"/>
  <c r="D114" i="91"/>
  <c r="D115" i="91"/>
  <c r="D116" i="91"/>
  <c r="D117" i="91"/>
  <c r="D118" i="91"/>
  <c r="D119" i="91"/>
  <c r="D120" i="91"/>
  <c r="D121" i="91"/>
  <c r="D122" i="91"/>
  <c r="D123" i="91"/>
  <c r="D124" i="91"/>
  <c r="D125" i="91"/>
  <c r="D126" i="91"/>
  <c r="D127" i="91"/>
  <c r="D128" i="91"/>
  <c r="D129" i="91"/>
  <c r="D130" i="91"/>
  <c r="D131" i="91"/>
  <c r="D132" i="91"/>
  <c r="D133" i="91"/>
  <c r="D134" i="91"/>
  <c r="D135" i="91"/>
  <c r="D136" i="91"/>
  <c r="D137" i="91"/>
  <c r="D138" i="91"/>
  <c r="D139" i="91"/>
  <c r="D140" i="91"/>
  <c r="D141" i="91"/>
  <c r="D142" i="91"/>
  <c r="D143" i="91"/>
  <c r="D144" i="91"/>
  <c r="D145" i="91"/>
  <c r="D146" i="91"/>
  <c r="D147" i="91"/>
  <c r="D148" i="91"/>
  <c r="D149" i="91"/>
  <c r="D150" i="91"/>
  <c r="D151" i="91"/>
  <c r="D152" i="91"/>
  <c r="D153" i="91"/>
  <c r="D154" i="91"/>
  <c r="D155" i="91"/>
  <c r="D156" i="91"/>
  <c r="D157" i="91"/>
  <c r="D158" i="91"/>
  <c r="D159" i="91"/>
  <c r="D160" i="91"/>
  <c r="D161" i="91"/>
  <c r="D162" i="91"/>
  <c r="D163" i="91"/>
  <c r="D164" i="91"/>
  <c r="D165" i="91"/>
  <c r="E3" i="90"/>
  <c r="F3" i="90"/>
  <c r="E4" i="90"/>
  <c r="F4" i="90"/>
  <c r="E5" i="90"/>
  <c r="F5" i="90"/>
  <c r="E6" i="90"/>
  <c r="F6" i="90"/>
  <c r="E7" i="90"/>
  <c r="F7" i="90"/>
  <c r="E8" i="90"/>
  <c r="F8" i="90"/>
  <c r="E9" i="90"/>
  <c r="F9" i="90"/>
  <c r="E10" i="90"/>
  <c r="F10" i="90"/>
  <c r="E11" i="90"/>
  <c r="F11" i="90"/>
  <c r="E12" i="90"/>
  <c r="F12" i="90"/>
  <c r="E13" i="90"/>
  <c r="F13" i="90"/>
  <c r="E14" i="90"/>
  <c r="F14" i="90"/>
  <c r="E15" i="90"/>
  <c r="F6" i="89"/>
  <c r="D8" i="89"/>
  <c r="B26" i="89"/>
  <c r="D7" i="88"/>
  <c r="F6" i="88"/>
  <c r="E5" i="87"/>
  <c r="G5" i="87"/>
  <c r="G9" i="87"/>
  <c r="B14" i="87"/>
  <c r="C4" i="87" s="1"/>
  <c r="D14" i="87"/>
  <c r="E4" i="87" s="1"/>
  <c r="F14" i="87"/>
  <c r="G4" i="87" s="1"/>
  <c r="H4" i="86"/>
  <c r="H5" i="86"/>
  <c r="H6" i="86"/>
  <c r="B7" i="86"/>
  <c r="C4" i="86" s="1"/>
  <c r="D7" i="86"/>
  <c r="E4" i="86" s="1"/>
  <c r="F7" i="86"/>
  <c r="G4" i="86" s="1"/>
  <c r="G4" i="85"/>
  <c r="H5" i="85"/>
  <c r="H6" i="85"/>
  <c r="H7" i="85"/>
  <c r="H8" i="85"/>
  <c r="H9" i="85"/>
  <c r="H10" i="85"/>
  <c r="H12" i="85"/>
  <c r="H13" i="85"/>
  <c r="B14" i="85"/>
  <c r="C4" i="85" s="1"/>
  <c r="D14" i="85"/>
  <c r="E12" i="85" s="1"/>
  <c r="F14" i="85"/>
  <c r="G8" i="85" s="1"/>
  <c r="D3" i="84"/>
  <c r="E3" i="84"/>
  <c r="D4" i="84"/>
  <c r="E4" i="84"/>
  <c r="D5" i="84"/>
  <c r="E5" i="84"/>
  <c r="D6" i="84"/>
  <c r="E6" i="84"/>
  <c r="D7" i="84"/>
  <c r="E7" i="84"/>
  <c r="D8" i="84"/>
  <c r="E8" i="84"/>
  <c r="E9" i="84"/>
  <c r="D3" i="83"/>
  <c r="E3" i="83"/>
  <c r="D4" i="83"/>
  <c r="E4" i="83"/>
  <c r="D5" i="83"/>
  <c r="E5" i="83"/>
  <c r="D6" i="83"/>
  <c r="E6" i="83"/>
  <c r="D7" i="83"/>
  <c r="E7" i="83"/>
  <c r="D8" i="83"/>
  <c r="E8" i="83"/>
  <c r="D9" i="83"/>
  <c r="E9" i="83"/>
  <c r="D10" i="83"/>
  <c r="E10" i="83"/>
  <c r="E11" i="83"/>
  <c r="D12" i="83"/>
  <c r="E12" i="83"/>
  <c r="D13" i="83"/>
  <c r="E13" i="83"/>
  <c r="D14" i="83"/>
  <c r="E14" i="83"/>
  <c r="K141" i="95" l="1"/>
  <c r="L45" i="95"/>
  <c r="L11" i="95"/>
  <c r="K92" i="95"/>
  <c r="L30" i="95"/>
  <c r="K10" i="95"/>
  <c r="K167" i="95"/>
  <c r="K152" i="95"/>
  <c r="L98" i="95"/>
  <c r="L43" i="95"/>
  <c r="K22" i="95"/>
  <c r="L131" i="95"/>
  <c r="L68" i="95"/>
  <c r="K163" i="95"/>
  <c r="K130" i="95"/>
  <c r="K124" i="95"/>
  <c r="L77" i="95"/>
  <c r="L53" i="95"/>
  <c r="L20" i="95"/>
  <c r="E126" i="95"/>
  <c r="E244" i="95"/>
  <c r="K14" i="95"/>
  <c r="C157" i="95"/>
  <c r="C244" i="95"/>
  <c r="C229" i="95"/>
  <c r="L180" i="95"/>
  <c r="K123" i="95"/>
  <c r="L76" i="95"/>
  <c r="L38" i="95"/>
  <c r="E173" i="94"/>
  <c r="E144" i="94"/>
  <c r="E158" i="94"/>
  <c r="E96" i="94"/>
  <c r="E47" i="94"/>
  <c r="G7" i="94"/>
  <c r="G15" i="94"/>
  <c r="G23" i="94"/>
  <c r="G31" i="94"/>
  <c r="G39" i="94"/>
  <c r="G47" i="94"/>
  <c r="G55" i="94"/>
  <c r="G63" i="94"/>
  <c r="G71" i="94"/>
  <c r="G79" i="94"/>
  <c r="G87" i="94"/>
  <c r="G95" i="94"/>
  <c r="G103" i="94"/>
  <c r="G111" i="94"/>
  <c r="G119" i="94"/>
  <c r="G127" i="94"/>
  <c r="G135" i="94"/>
  <c r="G143" i="94"/>
  <c r="G151" i="94"/>
  <c r="G159" i="94"/>
  <c r="G167" i="94"/>
  <c r="G175" i="94"/>
  <c r="G183" i="94"/>
  <c r="G38" i="94"/>
  <c r="G8" i="94"/>
  <c r="G16" i="94"/>
  <c r="G24" i="94"/>
  <c r="G32" i="94"/>
  <c r="G40" i="94"/>
  <c r="G48" i="94"/>
  <c r="G56" i="94"/>
  <c r="G64" i="94"/>
  <c r="G72" i="94"/>
  <c r="G80" i="94"/>
  <c r="G88" i="94"/>
  <c r="G96" i="94"/>
  <c r="G104" i="94"/>
  <c r="G112" i="94"/>
  <c r="G120" i="94"/>
  <c r="G128" i="94"/>
  <c r="G136" i="94"/>
  <c r="G144" i="94"/>
  <c r="G152" i="94"/>
  <c r="G160" i="94"/>
  <c r="G168" i="94"/>
  <c r="G176" i="94"/>
  <c r="G184" i="94"/>
  <c r="G9" i="94"/>
  <c r="G17" i="94"/>
  <c r="G25" i="94"/>
  <c r="G33" i="94"/>
  <c r="G41" i="94"/>
  <c r="G49" i="94"/>
  <c r="G57" i="94"/>
  <c r="G65" i="94"/>
  <c r="G73" i="94"/>
  <c r="G81" i="94"/>
  <c r="G89" i="94"/>
  <c r="G97" i="94"/>
  <c r="G105" i="94"/>
  <c r="G113" i="94"/>
  <c r="G121" i="94"/>
  <c r="G129" i="94"/>
  <c r="G137" i="94"/>
  <c r="G145" i="94"/>
  <c r="G153" i="94"/>
  <c r="G161" i="94"/>
  <c r="G169" i="94"/>
  <c r="G177" i="94"/>
  <c r="G185" i="94"/>
  <c r="G12" i="94"/>
  <c r="G28" i="94"/>
  <c r="G44" i="94"/>
  <c r="G60" i="94"/>
  <c r="G76" i="94"/>
  <c r="G92" i="94"/>
  <c r="G108" i="94"/>
  <c r="G124" i="94"/>
  <c r="G140" i="94"/>
  <c r="G156" i="94"/>
  <c r="G172" i="94"/>
  <c r="G5" i="94"/>
  <c r="G21" i="94"/>
  <c r="G45" i="94"/>
  <c r="G61" i="94"/>
  <c r="G77" i="94"/>
  <c r="G93" i="94"/>
  <c r="G109" i="94"/>
  <c r="G125" i="94"/>
  <c r="G141" i="94"/>
  <c r="G157" i="94"/>
  <c r="G173" i="94"/>
  <c r="G6" i="94"/>
  <c r="G30" i="94"/>
  <c r="G54" i="94"/>
  <c r="G62" i="94"/>
  <c r="G78" i="94"/>
  <c r="G94" i="94"/>
  <c r="G110" i="94"/>
  <c r="G126" i="94"/>
  <c r="G142" i="94"/>
  <c r="G158" i="94"/>
  <c r="G174" i="94"/>
  <c r="G10" i="94"/>
  <c r="G18" i="94"/>
  <c r="G26" i="94"/>
  <c r="G34" i="94"/>
  <c r="G42" i="94"/>
  <c r="G50" i="94"/>
  <c r="G58" i="94"/>
  <c r="G66" i="94"/>
  <c r="G74" i="94"/>
  <c r="G82" i="94"/>
  <c r="G90" i="94"/>
  <c r="G98" i="94"/>
  <c r="G106" i="94"/>
  <c r="G114" i="94"/>
  <c r="G122" i="94"/>
  <c r="G130" i="94"/>
  <c r="G138" i="94"/>
  <c r="G146" i="94"/>
  <c r="G154" i="94"/>
  <c r="G162" i="94"/>
  <c r="G170" i="94"/>
  <c r="G178" i="94"/>
  <c r="G186" i="94"/>
  <c r="G11" i="94"/>
  <c r="G19" i="94"/>
  <c r="G27" i="94"/>
  <c r="G35" i="94"/>
  <c r="G43" i="94"/>
  <c r="G51" i="94"/>
  <c r="G59" i="94"/>
  <c r="G67" i="94"/>
  <c r="G75" i="94"/>
  <c r="G83" i="94"/>
  <c r="G91" i="94"/>
  <c r="G99" i="94"/>
  <c r="G107" i="94"/>
  <c r="G115" i="94"/>
  <c r="G123" i="94"/>
  <c r="G131" i="94"/>
  <c r="G139" i="94"/>
  <c r="G147" i="94"/>
  <c r="G155" i="94"/>
  <c r="G163" i="94"/>
  <c r="G171" i="94"/>
  <c r="G179" i="94"/>
  <c r="G4" i="94"/>
  <c r="G20" i="94"/>
  <c r="G36" i="94"/>
  <c r="G52" i="94"/>
  <c r="G68" i="94"/>
  <c r="G84" i="94"/>
  <c r="G100" i="94"/>
  <c r="G116" i="94"/>
  <c r="G132" i="94"/>
  <c r="G148" i="94"/>
  <c r="G164" i="94"/>
  <c r="G180" i="94"/>
  <c r="G13" i="94"/>
  <c r="G29" i="94"/>
  <c r="G37" i="94"/>
  <c r="G53" i="94"/>
  <c r="G69" i="94"/>
  <c r="G85" i="94"/>
  <c r="G101" i="94"/>
  <c r="G117" i="94"/>
  <c r="G133" i="94"/>
  <c r="G149" i="94"/>
  <c r="G165" i="94"/>
  <c r="G181" i="94"/>
  <c r="G14" i="94"/>
  <c r="G22" i="94"/>
  <c r="G46" i="94"/>
  <c r="G70" i="94"/>
  <c r="G86" i="94"/>
  <c r="G102" i="94"/>
  <c r="G118" i="94"/>
  <c r="G134" i="94"/>
  <c r="G150" i="94"/>
  <c r="G166" i="94"/>
  <c r="G182" i="94"/>
  <c r="E50" i="94"/>
  <c r="D259" i="92"/>
  <c r="D178" i="91"/>
  <c r="E9" i="87"/>
  <c r="E12" i="87"/>
  <c r="E8" i="87"/>
  <c r="F15" i="101"/>
  <c r="C15" i="101"/>
  <c r="G256" i="97"/>
  <c r="H258" i="97"/>
  <c r="E181" i="97"/>
  <c r="E242" i="97"/>
  <c r="E149" i="97"/>
  <c r="G5" i="97"/>
  <c r="E256" i="97"/>
  <c r="E252" i="97"/>
  <c r="G238" i="97"/>
  <c r="E10" i="97"/>
  <c r="G248" i="97"/>
  <c r="E85" i="97"/>
  <c r="C231" i="97"/>
  <c r="G233" i="97"/>
  <c r="E230" i="97"/>
  <c r="E53" i="97"/>
  <c r="G254" i="97"/>
  <c r="G240" i="97"/>
  <c r="G236" i="97"/>
  <c r="E233" i="97"/>
  <c r="E21" i="97"/>
  <c r="G257" i="97"/>
  <c r="E254" i="97"/>
  <c r="G250" i="97"/>
  <c r="G247" i="97"/>
  <c r="E244" i="97"/>
  <c r="E240" i="97"/>
  <c r="E247" i="97"/>
  <c r="E213" i="97"/>
  <c r="E119" i="96"/>
  <c r="E52" i="96"/>
  <c r="E109" i="96"/>
  <c r="E129" i="96"/>
  <c r="E117" i="96"/>
  <c r="E105" i="96"/>
  <c r="E97" i="96"/>
  <c r="G39" i="96"/>
  <c r="E31" i="96"/>
  <c r="E132" i="96"/>
  <c r="E84" i="96"/>
  <c r="G104" i="96"/>
  <c r="E76" i="96"/>
  <c r="L147" i="95"/>
  <c r="L116" i="95"/>
  <c r="K106" i="95"/>
  <c r="K100" i="95"/>
  <c r="L85" i="95"/>
  <c r="K60" i="95"/>
  <c r="L51" i="95"/>
  <c r="K42" i="95"/>
  <c r="K37" i="95"/>
  <c r="L6" i="95"/>
  <c r="L174" i="95"/>
  <c r="K146" i="95"/>
  <c r="K136" i="95"/>
  <c r="L59" i="95"/>
  <c r="K50" i="95"/>
  <c r="K36" i="95"/>
  <c r="K4" i="95"/>
  <c r="L67" i="95"/>
  <c r="K58" i="95"/>
  <c r="K44" i="95"/>
  <c r="K13" i="95"/>
  <c r="L241" i="95"/>
  <c r="L161" i="95"/>
  <c r="K107" i="95"/>
  <c r="K66" i="95"/>
  <c r="K52" i="95"/>
  <c r="K34" i="95"/>
  <c r="L186" i="95"/>
  <c r="L166" i="95"/>
  <c r="K132" i="95"/>
  <c r="K91" i="95"/>
  <c r="L69" i="95"/>
  <c r="L46" i="95"/>
  <c r="K27" i="95"/>
  <c r="L12" i="95"/>
  <c r="L234" i="95"/>
  <c r="L201" i="95"/>
  <c r="E189" i="95"/>
  <c r="L173" i="95"/>
  <c r="L160" i="95"/>
  <c r="L151" i="95"/>
  <c r="K188" i="95"/>
  <c r="E185" i="95"/>
  <c r="K114" i="95"/>
  <c r="K84" i="95"/>
  <c r="K28" i="95"/>
  <c r="K5" i="95"/>
  <c r="K187" i="95"/>
  <c r="L172" i="95"/>
  <c r="E151" i="95"/>
  <c r="L134" i="95"/>
  <c r="L126" i="95"/>
  <c r="L120" i="95"/>
  <c r="L83" i="95"/>
  <c r="L70" i="95"/>
  <c r="L232" i="95"/>
  <c r="E215" i="95"/>
  <c r="E195" i="95"/>
  <c r="L190" i="95"/>
  <c r="K169" i="95"/>
  <c r="K162" i="95"/>
  <c r="L158" i="95"/>
  <c r="E96" i="95"/>
  <c r="E187" i="95"/>
  <c r="L179" i="95"/>
  <c r="E175" i="95"/>
  <c r="K165" i="95"/>
  <c r="C153" i="95"/>
  <c r="E103" i="95"/>
  <c r="L29" i="95"/>
  <c r="L157" i="95"/>
  <c r="L125" i="95"/>
  <c r="L82" i="95"/>
  <c r="K26" i="95"/>
  <c r="L21" i="95"/>
  <c r="E203" i="95"/>
  <c r="E183" i="95"/>
  <c r="L171" i="95"/>
  <c r="H245" i="95"/>
  <c r="J223" i="95" s="1"/>
  <c r="E227" i="95"/>
  <c r="C193" i="95"/>
  <c r="K164" i="95"/>
  <c r="K149" i="95"/>
  <c r="L109" i="95"/>
  <c r="L101" i="95"/>
  <c r="L93" i="95"/>
  <c r="K18" i="95"/>
  <c r="C241" i="95"/>
  <c r="C237" i="95"/>
  <c r="C217" i="95"/>
  <c r="C197" i="95"/>
  <c r="C232" i="95"/>
  <c r="C243" i="95"/>
  <c r="C210" i="95"/>
  <c r="C205" i="95"/>
  <c r="C238" i="95"/>
  <c r="C219" i="95"/>
  <c r="C149" i="95"/>
  <c r="C191" i="95"/>
  <c r="C173" i="95"/>
  <c r="C119" i="95"/>
  <c r="C224" i="95"/>
  <c r="C122" i="95"/>
  <c r="E18" i="94"/>
  <c r="E123" i="94"/>
  <c r="E70" i="94"/>
  <c r="E21" i="94"/>
  <c r="E178" i="94"/>
  <c r="E78" i="94"/>
  <c r="E55" i="94"/>
  <c r="E29" i="94"/>
  <c r="E155" i="94"/>
  <c r="E105" i="94"/>
  <c r="E88" i="94"/>
  <c r="E10" i="94"/>
  <c r="E182" i="94"/>
  <c r="E150" i="94"/>
  <c r="E121" i="94"/>
  <c r="E91" i="94"/>
  <c r="E65" i="94"/>
  <c r="E42" i="94"/>
  <c r="E13" i="94"/>
  <c r="E135" i="94"/>
  <c r="E116" i="94"/>
  <c r="E60" i="94"/>
  <c r="E34" i="94"/>
  <c r="E180" i="94"/>
  <c r="E162" i="94"/>
  <c r="E148" i="94"/>
  <c r="E103" i="94"/>
  <c r="E83" i="94"/>
  <c r="E37" i="94"/>
  <c r="E5" i="94"/>
  <c r="E146" i="94"/>
  <c r="E130" i="94"/>
  <c r="E75" i="94"/>
  <c r="E26" i="94"/>
  <c r="C171" i="94"/>
  <c r="C125" i="94"/>
  <c r="C67" i="94"/>
  <c r="C60" i="94"/>
  <c r="C169" i="94"/>
  <c r="C93" i="94"/>
  <c r="C52" i="94"/>
  <c r="C26" i="94"/>
  <c r="C10" i="94"/>
  <c r="C80" i="94"/>
  <c r="C39" i="94"/>
  <c r="C146" i="94"/>
  <c r="C116" i="94"/>
  <c r="C62" i="94"/>
  <c r="C185" i="94"/>
  <c r="C178" i="94"/>
  <c r="C158" i="94"/>
  <c r="C138" i="94"/>
  <c r="C100" i="94"/>
  <c r="C176" i="94"/>
  <c r="C72" i="94"/>
  <c r="C31" i="94"/>
  <c r="C15" i="94"/>
  <c r="C140" i="94"/>
  <c r="C23" i="94"/>
  <c r="C182" i="94"/>
  <c r="C153" i="94"/>
  <c r="C144" i="94"/>
  <c r="C135" i="94"/>
  <c r="C118" i="94"/>
  <c r="C107" i="94"/>
  <c r="C85" i="94"/>
  <c r="C75" i="94"/>
  <c r="C44" i="94"/>
  <c r="C34" i="94"/>
  <c r="C18" i="94"/>
  <c r="C180" i="94"/>
  <c r="C7" i="94"/>
  <c r="C173" i="94"/>
  <c r="C162" i="94"/>
  <c r="C142" i="94"/>
  <c r="C133" i="94"/>
  <c r="C127" i="94"/>
  <c r="C113" i="94"/>
  <c r="C98" i="94"/>
  <c r="C88" i="94"/>
  <c r="C57" i="94"/>
  <c r="C47" i="94"/>
  <c r="E95" i="93"/>
  <c r="E118" i="93"/>
  <c r="E108" i="93"/>
  <c r="E63" i="93"/>
  <c r="G118" i="93"/>
  <c r="C114" i="93"/>
  <c r="E104" i="93"/>
  <c r="G95" i="93"/>
  <c r="C89" i="93"/>
  <c r="G80" i="93"/>
  <c r="G63" i="93"/>
  <c r="C55" i="93"/>
  <c r="E49" i="93"/>
  <c r="C34" i="93"/>
  <c r="E80" i="93"/>
  <c r="G58" i="93"/>
  <c r="C44" i="93"/>
  <c r="G37" i="93"/>
  <c r="G24" i="93"/>
  <c r="E21" i="93"/>
  <c r="C18" i="93"/>
  <c r="E131" i="93"/>
  <c r="C125" i="93"/>
  <c r="E112" i="93"/>
  <c r="C108" i="93"/>
  <c r="E102" i="93"/>
  <c r="E58" i="93"/>
  <c r="G47" i="93"/>
  <c r="E37" i="93"/>
  <c r="E24" i="93"/>
  <c r="C21" i="93"/>
  <c r="C131" i="93"/>
  <c r="C112" i="93"/>
  <c r="C102" i="93"/>
  <c r="E93" i="93"/>
  <c r="C65" i="93"/>
  <c r="E47" i="93"/>
  <c r="G8" i="93"/>
  <c r="E5" i="93"/>
  <c r="C123" i="93"/>
  <c r="G116" i="93"/>
  <c r="E106" i="93"/>
  <c r="C100" i="93"/>
  <c r="C93" i="93"/>
  <c r="E71" i="93"/>
  <c r="C51" i="93"/>
  <c r="C39" i="93"/>
  <c r="E29" i="93"/>
  <c r="C26" i="93"/>
  <c r="E8" i="93"/>
  <c r="C5" i="93"/>
  <c r="G10" i="93"/>
  <c r="H132" i="93"/>
  <c r="C129" i="93"/>
  <c r="E116" i="93"/>
  <c r="E110" i="93"/>
  <c r="C106" i="93"/>
  <c r="E84" i="93"/>
  <c r="C71" i="93"/>
  <c r="G32" i="93"/>
  <c r="C29" i="93"/>
  <c r="E7" i="93"/>
  <c r="C121" i="93"/>
  <c r="C110" i="93"/>
  <c r="E91" i="93"/>
  <c r="G74" i="93"/>
  <c r="C60" i="93"/>
  <c r="C42" i="93"/>
  <c r="E32" i="93"/>
  <c r="G16" i="93"/>
  <c r="E13" i="93"/>
  <c r="C4" i="93"/>
  <c r="C127" i="93"/>
  <c r="E114" i="93"/>
  <c r="G104" i="93"/>
  <c r="C91" i="93"/>
  <c r="E74" i="93"/>
  <c r="G49" i="93"/>
  <c r="E16" i="93"/>
  <c r="C13" i="93"/>
  <c r="G13" i="87"/>
  <c r="G11" i="87"/>
  <c r="G7" i="87"/>
  <c r="E10" i="87"/>
  <c r="E7" i="87"/>
  <c r="E13" i="87"/>
  <c r="E6" i="87"/>
  <c r="E11" i="87"/>
  <c r="G5" i="86"/>
  <c r="G12" i="85"/>
  <c r="G7" i="85"/>
  <c r="G10" i="85"/>
  <c r="G6" i="85"/>
  <c r="G9" i="85"/>
  <c r="G5" i="85"/>
  <c r="G14" i="85" s="1"/>
  <c r="G13" i="85"/>
  <c r="H14" i="85"/>
  <c r="D6" i="82"/>
  <c r="E6" i="82"/>
  <c r="C242" i="97"/>
  <c r="C210" i="97"/>
  <c r="C79" i="97"/>
  <c r="C249" i="97"/>
  <c r="C237" i="97"/>
  <c r="C235" i="97"/>
  <c r="G216" i="97"/>
  <c r="G213" i="97"/>
  <c r="E210" i="97"/>
  <c r="G184" i="97"/>
  <c r="G181" i="97"/>
  <c r="E178" i="97"/>
  <c r="G152" i="97"/>
  <c r="G149" i="97"/>
  <c r="E146" i="97"/>
  <c r="G120" i="97"/>
  <c r="G117" i="97"/>
  <c r="E114" i="97"/>
  <c r="G88" i="97"/>
  <c r="G85" i="97"/>
  <c r="E82" i="97"/>
  <c r="G56" i="97"/>
  <c r="G53" i="97"/>
  <c r="E50" i="97"/>
  <c r="G24" i="97"/>
  <c r="G21" i="97"/>
  <c r="E18" i="97"/>
  <c r="C230" i="97"/>
  <c r="C114" i="97"/>
  <c r="I258" i="97"/>
  <c r="C256" i="97"/>
  <c r="C254" i="97"/>
  <c r="C252" i="97"/>
  <c r="E250" i="97"/>
  <c r="C247" i="97"/>
  <c r="G245" i="97"/>
  <c r="G243" i="97"/>
  <c r="C240" i="97"/>
  <c r="E238" i="97"/>
  <c r="E236" i="97"/>
  <c r="C233" i="97"/>
  <c r="G231" i="97"/>
  <c r="G224" i="97"/>
  <c r="G221" i="97"/>
  <c r="E218" i="97"/>
  <c r="G192" i="97"/>
  <c r="G189" i="97"/>
  <c r="E186" i="97"/>
  <c r="G160" i="97"/>
  <c r="G157" i="97"/>
  <c r="E154" i="97"/>
  <c r="G128" i="97"/>
  <c r="G125" i="97"/>
  <c r="E122" i="97"/>
  <c r="G96" i="97"/>
  <c r="G93" i="97"/>
  <c r="E90" i="97"/>
  <c r="G64" i="97"/>
  <c r="G61" i="97"/>
  <c r="E58" i="97"/>
  <c r="G32" i="97"/>
  <c r="G29" i="97"/>
  <c r="E26" i="97"/>
  <c r="C178" i="97"/>
  <c r="C146" i="97"/>
  <c r="C111" i="97"/>
  <c r="C250" i="97"/>
  <c r="E245" i="97"/>
  <c r="E243" i="97"/>
  <c r="G241" i="97"/>
  <c r="C238" i="97"/>
  <c r="C236" i="97"/>
  <c r="G234" i="97"/>
  <c r="E231" i="97"/>
  <c r="E221" i="97"/>
  <c r="C218" i="97"/>
  <c r="C215" i="97"/>
  <c r="E189" i="97"/>
  <c r="C186" i="97"/>
  <c r="C183" i="97"/>
  <c r="E157" i="97"/>
  <c r="C154" i="97"/>
  <c r="C151" i="97"/>
  <c r="E125" i="97"/>
  <c r="C122" i="97"/>
  <c r="C119" i="97"/>
  <c r="E93" i="97"/>
  <c r="C90" i="97"/>
  <c r="C87" i="97"/>
  <c r="E61" i="97"/>
  <c r="C58" i="97"/>
  <c r="C55" i="97"/>
  <c r="E29" i="97"/>
  <c r="C26" i="97"/>
  <c r="C23" i="97"/>
  <c r="E257" i="97"/>
  <c r="G255" i="97"/>
  <c r="G253" i="97"/>
  <c r="G251" i="97"/>
  <c r="E248" i="97"/>
  <c r="C245" i="97"/>
  <c r="C243" i="97"/>
  <c r="E241" i="97"/>
  <c r="E234" i="97"/>
  <c r="G229" i="97"/>
  <c r="E226" i="97"/>
  <c r="G200" i="97"/>
  <c r="G197" i="97"/>
  <c r="E194" i="97"/>
  <c r="G168" i="97"/>
  <c r="G165" i="97"/>
  <c r="E162" i="97"/>
  <c r="G136" i="97"/>
  <c r="G133" i="97"/>
  <c r="E130" i="97"/>
  <c r="G104" i="97"/>
  <c r="G101" i="97"/>
  <c r="E98" i="97"/>
  <c r="G72" i="97"/>
  <c r="G69" i="97"/>
  <c r="E66" i="97"/>
  <c r="G40" i="97"/>
  <c r="G37" i="97"/>
  <c r="E34" i="97"/>
  <c r="G8" i="97"/>
  <c r="C4" i="97"/>
  <c r="C12" i="97"/>
  <c r="C20" i="97"/>
  <c r="C28" i="97"/>
  <c r="C36" i="97"/>
  <c r="C44" i="97"/>
  <c r="C52" i="97"/>
  <c r="C60" i="97"/>
  <c r="C68" i="97"/>
  <c r="C76" i="97"/>
  <c r="C84" i="97"/>
  <c r="C92" i="97"/>
  <c r="C100" i="97"/>
  <c r="C108" i="97"/>
  <c r="C116" i="97"/>
  <c r="C124" i="97"/>
  <c r="C132" i="97"/>
  <c r="C140" i="97"/>
  <c r="C148" i="97"/>
  <c r="C156" i="97"/>
  <c r="C164" i="97"/>
  <c r="C172" i="97"/>
  <c r="C180" i="97"/>
  <c r="C188" i="97"/>
  <c r="C196" i="97"/>
  <c r="C204" i="97"/>
  <c r="C212" i="97"/>
  <c r="C220" i="97"/>
  <c r="C228" i="97"/>
  <c r="C9" i="97"/>
  <c r="C17" i="97"/>
  <c r="C25" i="97"/>
  <c r="C33" i="97"/>
  <c r="C41" i="97"/>
  <c r="C49" i="97"/>
  <c r="C57" i="97"/>
  <c r="C65" i="97"/>
  <c r="C73" i="97"/>
  <c r="C81" i="97"/>
  <c r="C89" i="97"/>
  <c r="C97" i="97"/>
  <c r="C105" i="97"/>
  <c r="C113" i="97"/>
  <c r="C121" i="97"/>
  <c r="C129" i="97"/>
  <c r="C137" i="97"/>
  <c r="C145" i="97"/>
  <c r="C153" i="97"/>
  <c r="C161" i="97"/>
  <c r="C169" i="97"/>
  <c r="C177" i="97"/>
  <c r="C185" i="97"/>
  <c r="C193" i="97"/>
  <c r="C201" i="97"/>
  <c r="C209" i="97"/>
  <c r="C217" i="97"/>
  <c r="C225" i="97"/>
  <c r="C6" i="97"/>
  <c r="C14" i="97"/>
  <c r="C22" i="97"/>
  <c r="C30" i="97"/>
  <c r="C38" i="97"/>
  <c r="C46" i="97"/>
  <c r="C54" i="97"/>
  <c r="C62" i="97"/>
  <c r="C70" i="97"/>
  <c r="C78" i="97"/>
  <c r="C86" i="97"/>
  <c r="C94" i="97"/>
  <c r="C102" i="97"/>
  <c r="C110" i="97"/>
  <c r="C118" i="97"/>
  <c r="C126" i="97"/>
  <c r="C134" i="97"/>
  <c r="C142" i="97"/>
  <c r="C150" i="97"/>
  <c r="C158" i="97"/>
  <c r="C166" i="97"/>
  <c r="C174" i="97"/>
  <c r="C182" i="97"/>
  <c r="C190" i="97"/>
  <c r="C198" i="97"/>
  <c r="C206" i="97"/>
  <c r="C214" i="97"/>
  <c r="C222" i="97"/>
  <c r="C11" i="97"/>
  <c r="C19" i="97"/>
  <c r="C27" i="97"/>
  <c r="C35" i="97"/>
  <c r="C43" i="97"/>
  <c r="C51" i="97"/>
  <c r="C59" i="97"/>
  <c r="C67" i="97"/>
  <c r="C75" i="97"/>
  <c r="C83" i="97"/>
  <c r="C91" i="97"/>
  <c r="C99" i="97"/>
  <c r="C107" i="97"/>
  <c r="C115" i="97"/>
  <c r="C123" i="97"/>
  <c r="C131" i="97"/>
  <c r="C139" i="97"/>
  <c r="C147" i="97"/>
  <c r="C155" i="97"/>
  <c r="C163" i="97"/>
  <c r="C171" i="97"/>
  <c r="C179" i="97"/>
  <c r="C187" i="97"/>
  <c r="C195" i="97"/>
  <c r="C203" i="97"/>
  <c r="C211" i="97"/>
  <c r="C219" i="97"/>
  <c r="C227" i="97"/>
  <c r="C8" i="97"/>
  <c r="C16" i="97"/>
  <c r="C24" i="97"/>
  <c r="C32" i="97"/>
  <c r="C40" i="97"/>
  <c r="C48" i="97"/>
  <c r="C56" i="97"/>
  <c r="C64" i="97"/>
  <c r="C72" i="97"/>
  <c r="C80" i="97"/>
  <c r="C88" i="97"/>
  <c r="C96" i="97"/>
  <c r="C104" i="97"/>
  <c r="C112" i="97"/>
  <c r="C120" i="97"/>
  <c r="C128" i="97"/>
  <c r="C136" i="97"/>
  <c r="C144" i="97"/>
  <c r="C152" i="97"/>
  <c r="C160" i="97"/>
  <c r="C168" i="97"/>
  <c r="C176" i="97"/>
  <c r="C184" i="97"/>
  <c r="C192" i="97"/>
  <c r="C200" i="97"/>
  <c r="C208" i="97"/>
  <c r="C216" i="97"/>
  <c r="C224" i="97"/>
  <c r="C5" i="97"/>
  <c r="C13" i="97"/>
  <c r="C21" i="97"/>
  <c r="C29" i="97"/>
  <c r="C37" i="97"/>
  <c r="C45" i="97"/>
  <c r="C53" i="97"/>
  <c r="C61" i="97"/>
  <c r="C69" i="97"/>
  <c r="C77" i="97"/>
  <c r="C85" i="97"/>
  <c r="C93" i="97"/>
  <c r="C101" i="97"/>
  <c r="C109" i="97"/>
  <c r="C117" i="97"/>
  <c r="C125" i="97"/>
  <c r="C133" i="97"/>
  <c r="C141" i="97"/>
  <c r="C149" i="97"/>
  <c r="C157" i="97"/>
  <c r="C165" i="97"/>
  <c r="C173" i="97"/>
  <c r="C181" i="97"/>
  <c r="C189" i="97"/>
  <c r="C197" i="97"/>
  <c r="C205" i="97"/>
  <c r="C213" i="97"/>
  <c r="C221" i="97"/>
  <c r="C229" i="97"/>
  <c r="C47" i="97"/>
  <c r="C18" i="97"/>
  <c r="G10" i="97"/>
  <c r="G18" i="97"/>
  <c r="G26" i="97"/>
  <c r="G34" i="97"/>
  <c r="G42" i="97"/>
  <c r="G50" i="97"/>
  <c r="G58" i="97"/>
  <c r="G66" i="97"/>
  <c r="G74" i="97"/>
  <c r="G82" i="97"/>
  <c r="G90" i="97"/>
  <c r="G98" i="97"/>
  <c r="G106" i="97"/>
  <c r="G114" i="97"/>
  <c r="G122" i="97"/>
  <c r="G130" i="97"/>
  <c r="G138" i="97"/>
  <c r="G146" i="97"/>
  <c r="G154" i="97"/>
  <c r="G162" i="97"/>
  <c r="G170" i="97"/>
  <c r="G178" i="97"/>
  <c r="G186" i="97"/>
  <c r="G194" i="97"/>
  <c r="G202" i="97"/>
  <c r="G210" i="97"/>
  <c r="G218" i="97"/>
  <c r="G226" i="97"/>
  <c r="G7" i="97"/>
  <c r="G15" i="97"/>
  <c r="G23" i="97"/>
  <c r="G31" i="97"/>
  <c r="G39" i="97"/>
  <c r="G47" i="97"/>
  <c r="G55" i="97"/>
  <c r="G63" i="97"/>
  <c r="G71" i="97"/>
  <c r="G79" i="97"/>
  <c r="G87" i="97"/>
  <c r="G95" i="97"/>
  <c r="G103" i="97"/>
  <c r="G111" i="97"/>
  <c r="G119" i="97"/>
  <c r="G127" i="97"/>
  <c r="G135" i="97"/>
  <c r="G143" i="97"/>
  <c r="G151" i="97"/>
  <c r="G159" i="97"/>
  <c r="G167" i="97"/>
  <c r="G175" i="97"/>
  <c r="G183" i="97"/>
  <c r="G191" i="97"/>
  <c r="G199" i="97"/>
  <c r="G207" i="97"/>
  <c r="G215" i="97"/>
  <c r="G223" i="97"/>
  <c r="G4" i="97"/>
  <c r="G12" i="97"/>
  <c r="G20" i="97"/>
  <c r="G28" i="97"/>
  <c r="G36" i="97"/>
  <c r="G44" i="97"/>
  <c r="G52" i="97"/>
  <c r="G60" i="97"/>
  <c r="G68" i="97"/>
  <c r="G76" i="97"/>
  <c r="G84" i="97"/>
  <c r="G92" i="97"/>
  <c r="G100" i="97"/>
  <c r="G108" i="97"/>
  <c r="G116" i="97"/>
  <c r="G124" i="97"/>
  <c r="G132" i="97"/>
  <c r="G140" i="97"/>
  <c r="G148" i="97"/>
  <c r="G156" i="97"/>
  <c r="G164" i="97"/>
  <c r="G172" i="97"/>
  <c r="G180" i="97"/>
  <c r="G188" i="97"/>
  <c r="G196" i="97"/>
  <c r="G204" i="97"/>
  <c r="G212" i="97"/>
  <c r="G220" i="97"/>
  <c r="G228" i="97"/>
  <c r="G9" i="97"/>
  <c r="G17" i="97"/>
  <c r="G25" i="97"/>
  <c r="G33" i="97"/>
  <c r="G41" i="97"/>
  <c r="G49" i="97"/>
  <c r="G57" i="97"/>
  <c r="G65" i="97"/>
  <c r="G73" i="97"/>
  <c r="G81" i="97"/>
  <c r="G89" i="97"/>
  <c r="G97" i="97"/>
  <c r="G105" i="97"/>
  <c r="G113" i="97"/>
  <c r="G121" i="97"/>
  <c r="G129" i="97"/>
  <c r="G137" i="97"/>
  <c r="G145" i="97"/>
  <c r="G153" i="97"/>
  <c r="G161" i="97"/>
  <c r="G169" i="97"/>
  <c r="G177" i="97"/>
  <c r="G185" i="97"/>
  <c r="G193" i="97"/>
  <c r="G201" i="97"/>
  <c r="G209" i="97"/>
  <c r="G217" i="97"/>
  <c r="G225" i="97"/>
  <c r="G6" i="97"/>
  <c r="G14" i="97"/>
  <c r="G22" i="97"/>
  <c r="G30" i="97"/>
  <c r="G38" i="97"/>
  <c r="G46" i="97"/>
  <c r="G54" i="97"/>
  <c r="G62" i="97"/>
  <c r="G70" i="97"/>
  <c r="G78" i="97"/>
  <c r="G86" i="97"/>
  <c r="G94" i="97"/>
  <c r="G102" i="97"/>
  <c r="G110" i="97"/>
  <c r="G118" i="97"/>
  <c r="G126" i="97"/>
  <c r="G134" i="97"/>
  <c r="G142" i="97"/>
  <c r="G150" i="97"/>
  <c r="G158" i="97"/>
  <c r="G166" i="97"/>
  <c r="G174" i="97"/>
  <c r="G182" i="97"/>
  <c r="G190" i="97"/>
  <c r="G198" i="97"/>
  <c r="G206" i="97"/>
  <c r="G214" i="97"/>
  <c r="G222" i="97"/>
  <c r="G11" i="97"/>
  <c r="G19" i="97"/>
  <c r="G27" i="97"/>
  <c r="G35" i="97"/>
  <c r="G43" i="97"/>
  <c r="G51" i="97"/>
  <c r="G59" i="97"/>
  <c r="G67" i="97"/>
  <c r="G75" i="97"/>
  <c r="G83" i="97"/>
  <c r="G91" i="97"/>
  <c r="G99" i="97"/>
  <c r="G107" i="97"/>
  <c r="G115" i="97"/>
  <c r="G123" i="97"/>
  <c r="G131" i="97"/>
  <c r="G139" i="97"/>
  <c r="G147" i="97"/>
  <c r="G155" i="97"/>
  <c r="G163" i="97"/>
  <c r="G171" i="97"/>
  <c r="G179" i="97"/>
  <c r="G187" i="97"/>
  <c r="G195" i="97"/>
  <c r="G203" i="97"/>
  <c r="G211" i="97"/>
  <c r="G219" i="97"/>
  <c r="G227" i="97"/>
  <c r="C257" i="97"/>
  <c r="E255" i="97"/>
  <c r="E253" i="97"/>
  <c r="E251" i="97"/>
  <c r="C248" i="97"/>
  <c r="G246" i="97"/>
  <c r="C241" i="97"/>
  <c r="G239" i="97"/>
  <c r="C234" i="97"/>
  <c r="G232" i="97"/>
  <c r="E229" i="97"/>
  <c r="C226" i="97"/>
  <c r="C223" i="97"/>
  <c r="E197" i="97"/>
  <c r="C194" i="97"/>
  <c r="C191" i="97"/>
  <c r="E165" i="97"/>
  <c r="C162" i="97"/>
  <c r="C159" i="97"/>
  <c r="E133" i="97"/>
  <c r="C130" i="97"/>
  <c r="C127" i="97"/>
  <c r="E101" i="97"/>
  <c r="C98" i="97"/>
  <c r="C95" i="97"/>
  <c r="E69" i="97"/>
  <c r="C66" i="97"/>
  <c r="C63" i="97"/>
  <c r="E37" i="97"/>
  <c r="C34" i="97"/>
  <c r="C31" i="97"/>
  <c r="E5" i="97"/>
  <c r="C143" i="97"/>
  <c r="C82" i="97"/>
  <c r="C15" i="97"/>
  <c r="C255" i="97"/>
  <c r="C253" i="97"/>
  <c r="C251" i="97"/>
  <c r="G249" i="97"/>
  <c r="E246" i="97"/>
  <c r="E239" i="97"/>
  <c r="G237" i="97"/>
  <c r="G235" i="97"/>
  <c r="E232" i="97"/>
  <c r="G208" i="97"/>
  <c r="G205" i="97"/>
  <c r="E202" i="97"/>
  <c r="G176" i="97"/>
  <c r="G173" i="97"/>
  <c r="E170" i="97"/>
  <c r="G144" i="97"/>
  <c r="G141" i="97"/>
  <c r="E138" i="97"/>
  <c r="G112" i="97"/>
  <c r="G109" i="97"/>
  <c r="E106" i="97"/>
  <c r="G80" i="97"/>
  <c r="G77" i="97"/>
  <c r="E74" i="97"/>
  <c r="G48" i="97"/>
  <c r="G45" i="97"/>
  <c r="E42" i="97"/>
  <c r="G16" i="97"/>
  <c r="G13" i="97"/>
  <c r="C244" i="97"/>
  <c r="C207" i="97"/>
  <c r="C175" i="97"/>
  <c r="C50" i="97"/>
  <c r="E7" i="97"/>
  <c r="E15" i="97"/>
  <c r="E23" i="97"/>
  <c r="E31" i="97"/>
  <c r="E39" i="97"/>
  <c r="E47" i="97"/>
  <c r="E55" i="97"/>
  <c r="E63" i="97"/>
  <c r="E71" i="97"/>
  <c r="E79" i="97"/>
  <c r="E87" i="97"/>
  <c r="E95" i="97"/>
  <c r="E103" i="97"/>
  <c r="E111" i="97"/>
  <c r="E119" i="97"/>
  <c r="E127" i="97"/>
  <c r="E135" i="97"/>
  <c r="E143" i="97"/>
  <c r="E151" i="97"/>
  <c r="E159" i="97"/>
  <c r="E167" i="97"/>
  <c r="E175" i="97"/>
  <c r="E183" i="97"/>
  <c r="E191" i="97"/>
  <c r="E199" i="97"/>
  <c r="E207" i="97"/>
  <c r="E215" i="97"/>
  <c r="E223" i="97"/>
  <c r="E4" i="97"/>
  <c r="E12" i="97"/>
  <c r="E20" i="97"/>
  <c r="E28" i="97"/>
  <c r="E36" i="97"/>
  <c r="E44" i="97"/>
  <c r="E52" i="97"/>
  <c r="E60" i="97"/>
  <c r="E68" i="97"/>
  <c r="E76" i="97"/>
  <c r="E84" i="97"/>
  <c r="E92" i="97"/>
  <c r="E100" i="97"/>
  <c r="E108" i="97"/>
  <c r="E116" i="97"/>
  <c r="E124" i="97"/>
  <c r="E132" i="97"/>
  <c r="E140" i="97"/>
  <c r="E148" i="97"/>
  <c r="E156" i="97"/>
  <c r="E164" i="97"/>
  <c r="E172" i="97"/>
  <c r="E180" i="97"/>
  <c r="E188" i="97"/>
  <c r="E196" i="97"/>
  <c r="E204" i="97"/>
  <c r="E212" i="97"/>
  <c r="E220" i="97"/>
  <c r="E228" i="97"/>
  <c r="E9" i="97"/>
  <c r="E17" i="97"/>
  <c r="E25" i="97"/>
  <c r="E33" i="97"/>
  <c r="E41" i="97"/>
  <c r="E49" i="97"/>
  <c r="E57" i="97"/>
  <c r="E65" i="97"/>
  <c r="E73" i="97"/>
  <c r="E81" i="97"/>
  <c r="E89" i="97"/>
  <c r="E97" i="97"/>
  <c r="E105" i="97"/>
  <c r="E113" i="97"/>
  <c r="E121" i="97"/>
  <c r="E129" i="97"/>
  <c r="E137" i="97"/>
  <c r="E145" i="97"/>
  <c r="E153" i="97"/>
  <c r="E161" i="97"/>
  <c r="E169" i="97"/>
  <c r="E177" i="97"/>
  <c r="E185" i="97"/>
  <c r="E193" i="97"/>
  <c r="E201" i="97"/>
  <c r="E209" i="97"/>
  <c r="E217" i="97"/>
  <c r="E225" i="97"/>
  <c r="E6" i="97"/>
  <c r="E14" i="97"/>
  <c r="E22" i="97"/>
  <c r="E30" i="97"/>
  <c r="E38" i="97"/>
  <c r="E46" i="97"/>
  <c r="E54" i="97"/>
  <c r="E62" i="97"/>
  <c r="E70" i="97"/>
  <c r="E78" i="97"/>
  <c r="E86" i="97"/>
  <c r="E94" i="97"/>
  <c r="E102" i="97"/>
  <c r="E110" i="97"/>
  <c r="E118" i="97"/>
  <c r="E126" i="97"/>
  <c r="E134" i="97"/>
  <c r="E142" i="97"/>
  <c r="E150" i="97"/>
  <c r="E158" i="97"/>
  <c r="E166" i="97"/>
  <c r="E174" i="97"/>
  <c r="E182" i="97"/>
  <c r="E190" i="97"/>
  <c r="E198" i="97"/>
  <c r="E206" i="97"/>
  <c r="E214" i="97"/>
  <c r="E222" i="97"/>
  <c r="E11" i="97"/>
  <c r="E19" i="97"/>
  <c r="E27" i="97"/>
  <c r="E35" i="97"/>
  <c r="E43" i="97"/>
  <c r="E51" i="97"/>
  <c r="E59" i="97"/>
  <c r="E67" i="97"/>
  <c r="E75" i="97"/>
  <c r="E83" i="97"/>
  <c r="E91" i="97"/>
  <c r="E99" i="97"/>
  <c r="E107" i="97"/>
  <c r="E115" i="97"/>
  <c r="E123" i="97"/>
  <c r="E131" i="97"/>
  <c r="E139" i="97"/>
  <c r="E147" i="97"/>
  <c r="E155" i="97"/>
  <c r="E163" i="97"/>
  <c r="E171" i="97"/>
  <c r="E179" i="97"/>
  <c r="E187" i="97"/>
  <c r="E195" i="97"/>
  <c r="E203" i="97"/>
  <c r="E211" i="97"/>
  <c r="E219" i="97"/>
  <c r="E227" i="97"/>
  <c r="E8" i="97"/>
  <c r="E16" i="97"/>
  <c r="E24" i="97"/>
  <c r="E32" i="97"/>
  <c r="E40" i="97"/>
  <c r="E48" i="97"/>
  <c r="E56" i="97"/>
  <c r="E64" i="97"/>
  <c r="E72" i="97"/>
  <c r="E80" i="97"/>
  <c r="E88" i="97"/>
  <c r="E96" i="97"/>
  <c r="E104" i="97"/>
  <c r="E112" i="97"/>
  <c r="E120" i="97"/>
  <c r="E128" i="97"/>
  <c r="E136" i="97"/>
  <c r="E144" i="97"/>
  <c r="E152" i="97"/>
  <c r="E160" i="97"/>
  <c r="E168" i="97"/>
  <c r="E176" i="97"/>
  <c r="E184" i="97"/>
  <c r="E192" i="97"/>
  <c r="E200" i="97"/>
  <c r="E208" i="97"/>
  <c r="E216" i="97"/>
  <c r="E224" i="97"/>
  <c r="E249" i="97"/>
  <c r="C246" i="97"/>
  <c r="G244" i="97"/>
  <c r="G242" i="97"/>
  <c r="C239" i="97"/>
  <c r="E237" i="97"/>
  <c r="E235" i="97"/>
  <c r="C232" i="97"/>
  <c r="G230" i="97"/>
  <c r="E205" i="97"/>
  <c r="C202" i="97"/>
  <c r="C199" i="97"/>
  <c r="E173" i="97"/>
  <c r="C170" i="97"/>
  <c r="C167" i="97"/>
  <c r="E141" i="97"/>
  <c r="C138" i="97"/>
  <c r="C135" i="97"/>
  <c r="E109" i="97"/>
  <c r="C106" i="97"/>
  <c r="C103" i="97"/>
  <c r="E77" i="97"/>
  <c r="C74" i="97"/>
  <c r="C71" i="97"/>
  <c r="E45" i="97"/>
  <c r="C42" i="97"/>
  <c r="C39" i="97"/>
  <c r="E13" i="97"/>
  <c r="C10" i="97"/>
  <c r="C7" i="97"/>
  <c r="C131" i="96"/>
  <c r="C49" i="96"/>
  <c r="G15" i="96"/>
  <c r="G23" i="96"/>
  <c r="G41" i="96"/>
  <c r="G49" i="96"/>
  <c r="G57" i="96"/>
  <c r="G65" i="96"/>
  <c r="G73" i="96"/>
  <c r="G7" i="96"/>
  <c r="G12" i="96"/>
  <c r="G20" i="96"/>
  <c r="G28" i="96"/>
  <c r="G33" i="96"/>
  <c r="G38" i="96"/>
  <c r="G46" i="96"/>
  <c r="G54" i="96"/>
  <c r="G62" i="96"/>
  <c r="G70" i="96"/>
  <c r="G78" i="96"/>
  <c r="G86" i="96"/>
  <c r="G99" i="96"/>
  <c r="G101" i="96"/>
  <c r="G109" i="96"/>
  <c r="G114" i="96"/>
  <c r="G121" i="96"/>
  <c r="G129" i="96"/>
  <c r="G53" i="96"/>
  <c r="G4" i="96"/>
  <c r="G9" i="96"/>
  <c r="G17" i="96"/>
  <c r="G25" i="96"/>
  <c r="G35" i="96"/>
  <c r="G43" i="96"/>
  <c r="G51" i="96"/>
  <c r="G59" i="96"/>
  <c r="G67" i="96"/>
  <c r="G75" i="96"/>
  <c r="G83" i="96"/>
  <c r="G91" i="96"/>
  <c r="G96" i="96"/>
  <c r="G106" i="96"/>
  <c r="G116" i="96"/>
  <c r="G126" i="96"/>
  <c r="G131" i="96"/>
  <c r="G14" i="96"/>
  <c r="G22" i="96"/>
  <c r="G30" i="96"/>
  <c r="G40" i="96"/>
  <c r="G48" i="96"/>
  <c r="G56" i="96"/>
  <c r="G64" i="96"/>
  <c r="G72" i="96"/>
  <c r="G80" i="96"/>
  <c r="G88" i="96"/>
  <c r="G103" i="96"/>
  <c r="G111" i="96"/>
  <c r="G123" i="96"/>
  <c r="G85" i="96"/>
  <c r="G93" i="96"/>
  <c r="G6" i="96"/>
  <c r="G11" i="96"/>
  <c r="G19" i="96"/>
  <c r="G27" i="96"/>
  <c r="G32" i="96"/>
  <c r="G37" i="96"/>
  <c r="G45" i="96"/>
  <c r="G61" i="96"/>
  <c r="G69" i="96"/>
  <c r="G77" i="96"/>
  <c r="G16" i="96"/>
  <c r="G24" i="96"/>
  <c r="G34" i="96"/>
  <c r="G42" i="96"/>
  <c r="G50" i="96"/>
  <c r="G58" i="96"/>
  <c r="G66" i="96"/>
  <c r="G74" i="96"/>
  <c r="G82" i="96"/>
  <c r="G90" i="96"/>
  <c r="G95" i="96"/>
  <c r="G105" i="96"/>
  <c r="G125" i="96"/>
  <c r="G5" i="96"/>
  <c r="G10" i="96"/>
  <c r="G18" i="96"/>
  <c r="G26" i="96"/>
  <c r="G31" i="96"/>
  <c r="G36" i="96"/>
  <c r="G44" i="96"/>
  <c r="G52" i="96"/>
  <c r="G60" i="96"/>
  <c r="G68" i="96"/>
  <c r="G76" i="96"/>
  <c r="G84" i="96"/>
  <c r="G92" i="96"/>
  <c r="G97" i="96"/>
  <c r="G107" i="96"/>
  <c r="G117" i="96"/>
  <c r="G119" i="96"/>
  <c r="G127" i="96"/>
  <c r="G132" i="96"/>
  <c r="G81" i="96"/>
  <c r="G89" i="96"/>
  <c r="C124" i="96"/>
  <c r="G118" i="96"/>
  <c r="G115" i="96"/>
  <c r="C110" i="96"/>
  <c r="G102" i="96"/>
  <c r="C94" i="96"/>
  <c r="G87" i="96"/>
  <c r="C15" i="96"/>
  <c r="E7" i="96"/>
  <c r="E12" i="96"/>
  <c r="E20" i="96"/>
  <c r="E28" i="96"/>
  <c r="E33" i="96"/>
  <c r="E38" i="96"/>
  <c r="E54" i="96"/>
  <c r="E62" i="96"/>
  <c r="E70" i="96"/>
  <c r="E78" i="96"/>
  <c r="E86" i="96"/>
  <c r="E4" i="96"/>
  <c r="E9" i="96"/>
  <c r="E17" i="96"/>
  <c r="E25" i="96"/>
  <c r="E35" i="96"/>
  <c r="E43" i="96"/>
  <c r="E51" i="96"/>
  <c r="E59" i="96"/>
  <c r="E67" i="96"/>
  <c r="E75" i="96"/>
  <c r="E83" i="96"/>
  <c r="E91" i="96"/>
  <c r="E96" i="96"/>
  <c r="E106" i="96"/>
  <c r="E116" i="96"/>
  <c r="E126" i="96"/>
  <c r="E131" i="96"/>
  <c r="E14" i="96"/>
  <c r="E22" i="96"/>
  <c r="E30" i="96"/>
  <c r="E40" i="96"/>
  <c r="E48" i="96"/>
  <c r="E56" i="96"/>
  <c r="E64" i="96"/>
  <c r="E72" i="96"/>
  <c r="E80" i="96"/>
  <c r="E88" i="96"/>
  <c r="E103" i="96"/>
  <c r="E111" i="96"/>
  <c r="E123" i="96"/>
  <c r="E6" i="96"/>
  <c r="E11" i="96"/>
  <c r="E19" i="96"/>
  <c r="E27" i="96"/>
  <c r="E32" i="96"/>
  <c r="E37" i="96"/>
  <c r="E45" i="96"/>
  <c r="E53" i="96"/>
  <c r="E61" i="96"/>
  <c r="E69" i="96"/>
  <c r="E77" i="96"/>
  <c r="E85" i="96"/>
  <c r="E93" i="96"/>
  <c r="E98" i="96"/>
  <c r="E108" i="96"/>
  <c r="E113" i="96"/>
  <c r="E118" i="96"/>
  <c r="E120" i="96"/>
  <c r="E128" i="96"/>
  <c r="E95" i="96"/>
  <c r="E16" i="96"/>
  <c r="E24" i="96"/>
  <c r="E34" i="96"/>
  <c r="E42" i="96"/>
  <c r="E50" i="96"/>
  <c r="E58" i="96"/>
  <c r="E66" i="96"/>
  <c r="E74" i="96"/>
  <c r="E82" i="96"/>
  <c r="E90" i="96"/>
  <c r="E8" i="96"/>
  <c r="E13" i="96"/>
  <c r="E21" i="96"/>
  <c r="E29" i="96"/>
  <c r="E39" i="96"/>
  <c r="E47" i="96"/>
  <c r="E55" i="96"/>
  <c r="E63" i="96"/>
  <c r="E71" i="96"/>
  <c r="E79" i="96"/>
  <c r="E87" i="96"/>
  <c r="E100" i="96"/>
  <c r="E102" i="96"/>
  <c r="E110" i="96"/>
  <c r="E115" i="96"/>
  <c r="E122" i="96"/>
  <c r="E130" i="96"/>
  <c r="E5" i="96"/>
  <c r="E15" i="96"/>
  <c r="E23" i="96"/>
  <c r="E41" i="96"/>
  <c r="E49" i="96"/>
  <c r="E57" i="96"/>
  <c r="E65" i="96"/>
  <c r="E73" i="96"/>
  <c r="E81" i="96"/>
  <c r="E89" i="96"/>
  <c r="E94" i="96"/>
  <c r="E104" i="96"/>
  <c r="E112" i="96"/>
  <c r="E124" i="96"/>
  <c r="E46" i="96"/>
  <c r="C126" i="96"/>
  <c r="E121" i="96"/>
  <c r="C115" i="96"/>
  <c r="G112" i="96"/>
  <c r="E107" i="96"/>
  <c r="C102" i="96"/>
  <c r="E99" i="96"/>
  <c r="C73" i="96"/>
  <c r="G63" i="96"/>
  <c r="E36" i="96"/>
  <c r="E18" i="96"/>
  <c r="G128" i="96"/>
  <c r="G79" i="96"/>
  <c r="G130" i="96"/>
  <c r="E125" i="96"/>
  <c r="G120" i="96"/>
  <c r="E114" i="96"/>
  <c r="C106" i="96"/>
  <c r="E101" i="96"/>
  <c r="G98" i="96"/>
  <c r="E92" i="96"/>
  <c r="G55" i="96"/>
  <c r="E10" i="96"/>
  <c r="C4" i="96"/>
  <c r="C9" i="96"/>
  <c r="C17" i="96"/>
  <c r="C25" i="96"/>
  <c r="C35" i="96"/>
  <c r="C43" i="96"/>
  <c r="C51" i="96"/>
  <c r="C59" i="96"/>
  <c r="C67" i="96"/>
  <c r="C75" i="96"/>
  <c r="C83" i="96"/>
  <c r="C14" i="96"/>
  <c r="C22" i="96"/>
  <c r="C30" i="96"/>
  <c r="C40" i="96"/>
  <c r="C48" i="96"/>
  <c r="C56" i="96"/>
  <c r="C64" i="96"/>
  <c r="C72" i="96"/>
  <c r="C80" i="96"/>
  <c r="C88" i="96"/>
  <c r="C103" i="96"/>
  <c r="C111" i="96"/>
  <c r="C123" i="96"/>
  <c r="C6" i="96"/>
  <c r="C11" i="96"/>
  <c r="C19" i="96"/>
  <c r="C27" i="96"/>
  <c r="C32" i="96"/>
  <c r="C37" i="96"/>
  <c r="C45" i="96"/>
  <c r="C53" i="96"/>
  <c r="C61" i="96"/>
  <c r="C69" i="96"/>
  <c r="C77" i="96"/>
  <c r="C85" i="96"/>
  <c r="C93" i="96"/>
  <c r="C98" i="96"/>
  <c r="C108" i="96"/>
  <c r="C113" i="96"/>
  <c r="C118" i="96"/>
  <c r="C120" i="96"/>
  <c r="C128" i="96"/>
  <c r="C16" i="96"/>
  <c r="C24" i="96"/>
  <c r="C34" i="96"/>
  <c r="C42" i="96"/>
  <c r="C50" i="96"/>
  <c r="C58" i="96"/>
  <c r="C66" i="96"/>
  <c r="C74" i="96"/>
  <c r="C82" i="96"/>
  <c r="C90" i="96"/>
  <c r="C95" i="96"/>
  <c r="C105" i="96"/>
  <c r="C125" i="96"/>
  <c r="C8" i="96"/>
  <c r="C13" i="96"/>
  <c r="C21" i="96"/>
  <c r="C29" i="96"/>
  <c r="C39" i="96"/>
  <c r="C47" i="96"/>
  <c r="C55" i="96"/>
  <c r="C63" i="96"/>
  <c r="C71" i="96"/>
  <c r="C79" i="96"/>
  <c r="C87" i="96"/>
  <c r="C5" i="96"/>
  <c r="C10" i="96"/>
  <c r="C18" i="96"/>
  <c r="C26" i="96"/>
  <c r="C31" i="96"/>
  <c r="C36" i="96"/>
  <c r="C44" i="96"/>
  <c r="C52" i="96"/>
  <c r="C60" i="96"/>
  <c r="C68" i="96"/>
  <c r="C76" i="96"/>
  <c r="C84" i="96"/>
  <c r="C92" i="96"/>
  <c r="C97" i="96"/>
  <c r="C107" i="96"/>
  <c r="C117" i="96"/>
  <c r="C119" i="96"/>
  <c r="C127" i="96"/>
  <c r="C132" i="96"/>
  <c r="C7" i="96"/>
  <c r="C12" i="96"/>
  <c r="C20" i="96"/>
  <c r="C28" i="96"/>
  <c r="C33" i="96"/>
  <c r="C38" i="96"/>
  <c r="C46" i="96"/>
  <c r="C54" i="96"/>
  <c r="C62" i="96"/>
  <c r="C70" i="96"/>
  <c r="C78" i="96"/>
  <c r="C86" i="96"/>
  <c r="C99" i="96"/>
  <c r="C101" i="96"/>
  <c r="C109" i="96"/>
  <c r="C114" i="96"/>
  <c r="C121" i="96"/>
  <c r="C129" i="96"/>
  <c r="C91" i="96"/>
  <c r="C112" i="96"/>
  <c r="C96" i="96"/>
  <c r="C104" i="96"/>
  <c r="C89" i="96"/>
  <c r="C130" i="96"/>
  <c r="G122" i="96"/>
  <c r="G100" i="96"/>
  <c r="E68" i="96"/>
  <c r="C41" i="96"/>
  <c r="C23" i="96"/>
  <c r="G13" i="96"/>
  <c r="E127" i="96"/>
  <c r="C122" i="96"/>
  <c r="C116" i="96"/>
  <c r="G108" i="96"/>
  <c r="C100" i="96"/>
  <c r="C81" i="96"/>
  <c r="G71" i="96"/>
  <c r="E44" i="96"/>
  <c r="E26" i="96"/>
  <c r="G124" i="96"/>
  <c r="G113" i="96"/>
  <c r="G110" i="96"/>
  <c r="G94" i="96"/>
  <c r="C57" i="96"/>
  <c r="G47" i="96"/>
  <c r="G29" i="96"/>
  <c r="G8" i="96"/>
  <c r="E241" i="95"/>
  <c r="E232" i="95"/>
  <c r="E217" i="95"/>
  <c r="E212" i="95"/>
  <c r="E197" i="95"/>
  <c r="K181" i="95"/>
  <c r="E170" i="95"/>
  <c r="C166" i="95"/>
  <c r="L156" i="95"/>
  <c r="K156" i="95"/>
  <c r="E147" i="95"/>
  <c r="K143" i="95"/>
  <c r="L143" i="95"/>
  <c r="L127" i="95"/>
  <c r="K127" i="95"/>
  <c r="E111" i="95"/>
  <c r="E242" i="95"/>
  <c r="E236" i="95"/>
  <c r="E233" i="95"/>
  <c r="L231" i="95"/>
  <c r="E225" i="95"/>
  <c r="E222" i="95"/>
  <c r="C215" i="95"/>
  <c r="C208" i="95"/>
  <c r="C203" i="95"/>
  <c r="E181" i="95"/>
  <c r="E179" i="95"/>
  <c r="E177" i="95"/>
  <c r="C171" i="95"/>
  <c r="E161" i="95"/>
  <c r="L155" i="95"/>
  <c r="C70" i="95"/>
  <c r="C62" i="95"/>
  <c r="C242" i="95"/>
  <c r="C239" i="95"/>
  <c r="C236" i="95"/>
  <c r="C233" i="95"/>
  <c r="E230" i="95"/>
  <c r="C225" i="95"/>
  <c r="C222" i="95"/>
  <c r="E220" i="95"/>
  <c r="E213" i="95"/>
  <c r="L207" i="95"/>
  <c r="E201" i="95"/>
  <c r="E192" i="95"/>
  <c r="L176" i="95"/>
  <c r="E169" i="95"/>
  <c r="E167" i="95"/>
  <c r="C165" i="95"/>
  <c r="E163" i="95"/>
  <c r="C155" i="95"/>
  <c r="K148" i="95"/>
  <c r="L148" i="95"/>
  <c r="C146" i="95"/>
  <c r="L133" i="95"/>
  <c r="C13" i="95"/>
  <c r="E243" i="95"/>
  <c r="E237" i="95"/>
  <c r="J231" i="95"/>
  <c r="E228" i="95"/>
  <c r="C220" i="95"/>
  <c r="E218" i="95"/>
  <c r="E211" i="95"/>
  <c r="C206" i="95"/>
  <c r="C194" i="95"/>
  <c r="E174" i="95"/>
  <c r="J157" i="95"/>
  <c r="K154" i="95"/>
  <c r="L154" i="95"/>
  <c r="K15" i="95"/>
  <c r="L15" i="95"/>
  <c r="E5" i="95"/>
  <c r="E13" i="95"/>
  <c r="E21" i="95"/>
  <c r="E29" i="95"/>
  <c r="E37" i="95"/>
  <c r="E45" i="95"/>
  <c r="E53" i="95"/>
  <c r="E61" i="95"/>
  <c r="E69" i="95"/>
  <c r="E77" i="95"/>
  <c r="E85" i="95"/>
  <c r="E93" i="95"/>
  <c r="E101" i="95"/>
  <c r="E109" i="95"/>
  <c r="E4" i="95"/>
  <c r="E12" i="95"/>
  <c r="E20" i="95"/>
  <c r="E28" i="95"/>
  <c r="E36" i="95"/>
  <c r="E44" i="95"/>
  <c r="E52" i="95"/>
  <c r="E60" i="95"/>
  <c r="E68" i="95"/>
  <c r="E76" i="95"/>
  <c r="E84" i="95"/>
  <c r="E92" i="95"/>
  <c r="E100" i="95"/>
  <c r="E108" i="95"/>
  <c r="E11" i="95"/>
  <c r="E19" i="95"/>
  <c r="E27" i="95"/>
  <c r="E35" i="95"/>
  <c r="E43" i="95"/>
  <c r="E51" i="95"/>
  <c r="E59" i="95"/>
  <c r="E67" i="95"/>
  <c r="E75" i="95"/>
  <c r="E83" i="95"/>
  <c r="E91" i="95"/>
  <c r="E99" i="95"/>
  <c r="E107" i="95"/>
  <c r="E115" i="95"/>
  <c r="E10" i="95"/>
  <c r="E18" i="95"/>
  <c r="E26" i="95"/>
  <c r="E34" i="95"/>
  <c r="E42" i="95"/>
  <c r="E50" i="95"/>
  <c r="E58" i="95"/>
  <c r="E66" i="95"/>
  <c r="E74" i="95"/>
  <c r="E82" i="95"/>
  <c r="E90" i="95"/>
  <c r="E98" i="95"/>
  <c r="E106" i="95"/>
  <c r="E114" i="95"/>
  <c r="E9" i="95"/>
  <c r="E17" i="95"/>
  <c r="E25" i="95"/>
  <c r="E33" i="95"/>
  <c r="E41" i="95"/>
  <c r="E49" i="95"/>
  <c r="E57" i="95"/>
  <c r="E65" i="95"/>
  <c r="E73" i="95"/>
  <c r="E81" i="95"/>
  <c r="E89" i="95"/>
  <c r="E97" i="95"/>
  <c r="E105" i="95"/>
  <c r="E113" i="95"/>
  <c r="E121" i="95"/>
  <c r="E8" i="95"/>
  <c r="E16" i="95"/>
  <c r="E24" i="95"/>
  <c r="E32" i="95"/>
  <c r="E40" i="95"/>
  <c r="E48" i="95"/>
  <c r="E56" i="95"/>
  <c r="E7" i="95"/>
  <c r="E15" i="95"/>
  <c r="E23" i="95"/>
  <c r="E31" i="95"/>
  <c r="E39" i="95"/>
  <c r="E47" i="95"/>
  <c r="E55" i="95"/>
  <c r="E62" i="95"/>
  <c r="E95" i="95"/>
  <c r="E102" i="95"/>
  <c r="E112" i="95"/>
  <c r="E116" i="95"/>
  <c r="E122" i="95"/>
  <c r="E130" i="95"/>
  <c r="E144" i="95"/>
  <c r="E149" i="95"/>
  <c r="E6" i="95"/>
  <c r="E46" i="95"/>
  <c r="E87" i="95"/>
  <c r="E94" i="95"/>
  <c r="E104" i="95"/>
  <c r="E117" i="95"/>
  <c r="E125" i="95"/>
  <c r="E133" i="95"/>
  <c r="E145" i="95"/>
  <c r="E152" i="95"/>
  <c r="E159" i="95"/>
  <c r="E165" i="95"/>
  <c r="E171" i="95"/>
  <c r="E190" i="95"/>
  <c r="E196" i="95"/>
  <c r="E200" i="95"/>
  <c r="E205" i="95"/>
  <c r="E78" i="95"/>
  <c r="E132" i="95"/>
  <c r="E142" i="95"/>
  <c r="E30" i="95"/>
  <c r="E86" i="95"/>
  <c r="E138" i="95"/>
  <c r="E154" i="95"/>
  <c r="E158" i="95"/>
  <c r="E166" i="95"/>
  <c r="E194" i="95"/>
  <c r="E204" i="95"/>
  <c r="E208" i="95"/>
  <c r="E221" i="95"/>
  <c r="E224" i="95"/>
  <c r="E239" i="95"/>
  <c r="E14" i="95"/>
  <c r="E54" i="95"/>
  <c r="E63" i="95"/>
  <c r="E128" i="95"/>
  <c r="E131" i="95"/>
  <c r="E135" i="95"/>
  <c r="E71" i="95"/>
  <c r="E79" i="95"/>
  <c r="E118" i="95"/>
  <c r="E124" i="95"/>
  <c r="E134" i="95"/>
  <c r="E141" i="95"/>
  <c r="E146" i="95"/>
  <c r="E153" i="95"/>
  <c r="E157" i="95"/>
  <c r="E64" i="95"/>
  <c r="E110" i="95"/>
  <c r="E120" i="95"/>
  <c r="E137" i="95"/>
  <c r="E140" i="95"/>
  <c r="E160" i="95"/>
  <c r="E164" i="95"/>
  <c r="E173" i="95"/>
  <c r="E180" i="95"/>
  <c r="E184" i="95"/>
  <c r="E188" i="95"/>
  <c r="E38" i="95"/>
  <c r="E72" i="95"/>
  <c r="E80" i="95"/>
  <c r="E88" i="95"/>
  <c r="E123" i="95"/>
  <c r="E127" i="95"/>
  <c r="E143" i="95"/>
  <c r="E148" i="95"/>
  <c r="E156" i="95"/>
  <c r="E172" i="95"/>
  <c r="E176" i="95"/>
  <c r="E199" i="95"/>
  <c r="E206" i="95"/>
  <c r="E210" i="95"/>
  <c r="E214" i="95"/>
  <c r="E70" i="95"/>
  <c r="E119" i="95"/>
  <c r="E129" i="95"/>
  <c r="E136" i="95"/>
  <c r="E139" i="95"/>
  <c r="E155" i="95"/>
  <c r="E191" i="95"/>
  <c r="E240" i="95"/>
  <c r="E234" i="95"/>
  <c r="E226" i="95"/>
  <c r="E223" i="95"/>
  <c r="I221" i="95"/>
  <c r="E216" i="95"/>
  <c r="E209" i="95"/>
  <c r="L205" i="95"/>
  <c r="C204" i="95"/>
  <c r="E198" i="95"/>
  <c r="C188" i="95"/>
  <c r="C184" i="95"/>
  <c r="C154" i="95"/>
  <c r="C145" i="95"/>
  <c r="C136" i="95"/>
  <c r="K65" i="95"/>
  <c r="L65" i="95"/>
  <c r="K242" i="95"/>
  <c r="C240" i="95"/>
  <c r="L236" i="95"/>
  <c r="C234" i="95"/>
  <c r="E231" i="95"/>
  <c r="C226" i="95"/>
  <c r="C223" i="95"/>
  <c r="C216" i="95"/>
  <c r="C214" i="95"/>
  <c r="C209" i="95"/>
  <c r="E207" i="95"/>
  <c r="E202" i="95"/>
  <c r="C190" i="95"/>
  <c r="E186" i="95"/>
  <c r="C180" i="95"/>
  <c r="E168" i="95"/>
  <c r="E150" i="95"/>
  <c r="K72" i="95"/>
  <c r="L72" i="95"/>
  <c r="E22" i="95"/>
  <c r="J55" i="95"/>
  <c r="I99" i="95"/>
  <c r="J123" i="95"/>
  <c r="I185" i="95"/>
  <c r="C4" i="95"/>
  <c r="C12" i="95"/>
  <c r="C20" i="95"/>
  <c r="C28" i="95"/>
  <c r="C36" i="95"/>
  <c r="C44" i="95"/>
  <c r="C52" i="95"/>
  <c r="C60" i="95"/>
  <c r="C68" i="95"/>
  <c r="C76" i="95"/>
  <c r="C84" i="95"/>
  <c r="C92" i="95"/>
  <c r="C100" i="95"/>
  <c r="C108" i="95"/>
  <c r="C116" i="95"/>
  <c r="C11" i="95"/>
  <c r="C19" i="95"/>
  <c r="C27" i="95"/>
  <c r="C35" i="95"/>
  <c r="C43" i="95"/>
  <c r="C51" i="95"/>
  <c r="C59" i="95"/>
  <c r="C67" i="95"/>
  <c r="C75" i="95"/>
  <c r="C83" i="95"/>
  <c r="C91" i="95"/>
  <c r="C99" i="95"/>
  <c r="C107" i="95"/>
  <c r="C10" i="95"/>
  <c r="C18" i="95"/>
  <c r="C26" i="95"/>
  <c r="C34" i="95"/>
  <c r="C42" i="95"/>
  <c r="C50" i="95"/>
  <c r="C58" i="95"/>
  <c r="C66" i="95"/>
  <c r="C74" i="95"/>
  <c r="C82" i="95"/>
  <c r="C90" i="95"/>
  <c r="C98" i="95"/>
  <c r="C106" i="95"/>
  <c r="C114" i="95"/>
  <c r="C9" i="95"/>
  <c r="C17" i="95"/>
  <c r="C25" i="95"/>
  <c r="C33" i="95"/>
  <c r="C41" i="95"/>
  <c r="C49" i="95"/>
  <c r="C57" i="95"/>
  <c r="C65" i="95"/>
  <c r="C73" i="95"/>
  <c r="C81" i="95"/>
  <c r="C89" i="95"/>
  <c r="C97" i="95"/>
  <c r="C105" i="95"/>
  <c r="C113" i="95"/>
  <c r="C121" i="95"/>
  <c r="C8" i="95"/>
  <c r="C16" i="95"/>
  <c r="C24" i="95"/>
  <c r="C32" i="95"/>
  <c r="C40" i="95"/>
  <c r="C48" i="95"/>
  <c r="C56" i="95"/>
  <c r="C64" i="95"/>
  <c r="C72" i="95"/>
  <c r="C80" i="95"/>
  <c r="C88" i="95"/>
  <c r="C96" i="95"/>
  <c r="C104" i="95"/>
  <c r="C112" i="95"/>
  <c r="C120" i="95"/>
  <c r="C7" i="95"/>
  <c r="C15" i="95"/>
  <c r="C23" i="95"/>
  <c r="C31" i="95"/>
  <c r="C39" i="95"/>
  <c r="C47" i="95"/>
  <c r="C55" i="95"/>
  <c r="C6" i="95"/>
  <c r="C14" i="95"/>
  <c r="C22" i="95"/>
  <c r="C30" i="95"/>
  <c r="C38" i="95"/>
  <c r="C46" i="95"/>
  <c r="C54" i="95"/>
  <c r="C29" i="95"/>
  <c r="C129" i="95"/>
  <c r="C137" i="95"/>
  <c r="C143" i="95"/>
  <c r="C148" i="95"/>
  <c r="C37" i="95"/>
  <c r="C53" i="95"/>
  <c r="C111" i="95"/>
  <c r="C124" i="95"/>
  <c r="C132" i="95"/>
  <c r="C139" i="95"/>
  <c r="C151" i="95"/>
  <c r="C158" i="95"/>
  <c r="C164" i="95"/>
  <c r="C170" i="95"/>
  <c r="C177" i="95"/>
  <c r="C183" i="95"/>
  <c r="C189" i="95"/>
  <c r="C195" i="95"/>
  <c r="C211" i="95"/>
  <c r="C86" i="95"/>
  <c r="C101" i="95"/>
  <c r="C109" i="95"/>
  <c r="C115" i="95"/>
  <c r="C125" i="95"/>
  <c r="C138" i="95"/>
  <c r="C63" i="95"/>
  <c r="C128" i="95"/>
  <c r="C131" i="95"/>
  <c r="C135" i="95"/>
  <c r="C161" i="95"/>
  <c r="C169" i="95"/>
  <c r="C174" i="95"/>
  <c r="C181" i="95"/>
  <c r="C185" i="95"/>
  <c r="C218" i="95"/>
  <c r="C227" i="95"/>
  <c r="C230" i="95"/>
  <c r="C235" i="95"/>
  <c r="C21" i="95"/>
  <c r="C61" i="95"/>
  <c r="C71" i="95"/>
  <c r="C79" i="95"/>
  <c r="C94" i="95"/>
  <c r="C118" i="95"/>
  <c r="C134" i="95"/>
  <c r="C5" i="95"/>
  <c r="C69" i="95"/>
  <c r="C87" i="95"/>
  <c r="C102" i="95"/>
  <c r="C110" i="95"/>
  <c r="C140" i="95"/>
  <c r="C160" i="95"/>
  <c r="C45" i="95"/>
  <c r="C77" i="95"/>
  <c r="C95" i="95"/>
  <c r="C123" i="95"/>
  <c r="C127" i="95"/>
  <c r="C130" i="95"/>
  <c r="C152" i="95"/>
  <c r="C156" i="95"/>
  <c r="C172" i="95"/>
  <c r="C176" i="95"/>
  <c r="C196" i="95"/>
  <c r="C199" i="95"/>
  <c r="C85" i="95"/>
  <c r="C103" i="95"/>
  <c r="C126" i="95"/>
  <c r="C133" i="95"/>
  <c r="C163" i="95"/>
  <c r="C168" i="95"/>
  <c r="C179" i="95"/>
  <c r="C187" i="95"/>
  <c r="C192" i="95"/>
  <c r="C202" i="95"/>
  <c r="C213" i="95"/>
  <c r="C78" i="95"/>
  <c r="C93" i="95"/>
  <c r="C117" i="95"/>
  <c r="C142" i="95"/>
  <c r="C147" i="95"/>
  <c r="C150" i="95"/>
  <c r="C159" i="95"/>
  <c r="C162" i="95"/>
  <c r="C167" i="95"/>
  <c r="C175" i="95"/>
  <c r="C178" i="95"/>
  <c r="C182" i="95"/>
  <c r="C186" i="95"/>
  <c r="C198" i="95"/>
  <c r="C201" i="95"/>
  <c r="E238" i="95"/>
  <c r="E235" i="95"/>
  <c r="C231" i="95"/>
  <c r="E229" i="95"/>
  <c r="C221" i="95"/>
  <c r="E219" i="95"/>
  <c r="C207" i="95"/>
  <c r="C200" i="95"/>
  <c r="E193" i="95"/>
  <c r="K189" i="95"/>
  <c r="L185" i="95"/>
  <c r="E182" i="95"/>
  <c r="E178" i="95"/>
  <c r="E162" i="95"/>
  <c r="C144" i="95"/>
  <c r="C141" i="95"/>
  <c r="L193" i="95"/>
  <c r="K111" i="95"/>
  <c r="L111" i="95"/>
  <c r="K103" i="95"/>
  <c r="L103" i="95"/>
  <c r="K96" i="95"/>
  <c r="L96" i="95"/>
  <c r="K135" i="95"/>
  <c r="L121" i="95"/>
  <c r="K95" i="95"/>
  <c r="L95" i="95"/>
  <c r="K64" i="95"/>
  <c r="L64" i="95"/>
  <c r="K55" i="95"/>
  <c r="L55" i="95"/>
  <c r="K118" i="95"/>
  <c r="L118" i="95"/>
  <c r="K87" i="95"/>
  <c r="L87" i="95"/>
  <c r="K79" i="95"/>
  <c r="L79" i="95"/>
  <c r="L129" i="95"/>
  <c r="K113" i="95"/>
  <c r="L113" i="95"/>
  <c r="K23" i="95"/>
  <c r="L23" i="95"/>
  <c r="K7" i="95"/>
  <c r="L7" i="95"/>
  <c r="K117" i="95"/>
  <c r="L117" i="95"/>
  <c r="K104" i="95"/>
  <c r="L104" i="95"/>
  <c r="K89" i="95"/>
  <c r="L89" i="95"/>
  <c r="K81" i="95"/>
  <c r="L81" i="95"/>
  <c r="K73" i="95"/>
  <c r="L73" i="95"/>
  <c r="K39" i="95"/>
  <c r="L39" i="95"/>
  <c r="K97" i="95"/>
  <c r="L97" i="95"/>
  <c r="K80" i="95"/>
  <c r="L80" i="95"/>
  <c r="K63" i="95"/>
  <c r="L63" i="95"/>
  <c r="K105" i="95"/>
  <c r="L105" i="95"/>
  <c r="K88" i="95"/>
  <c r="L88" i="95"/>
  <c r="K71" i="95"/>
  <c r="L71" i="95"/>
  <c r="K47" i="95"/>
  <c r="L47" i="95"/>
  <c r="K31" i="95"/>
  <c r="L31" i="95"/>
  <c r="L110" i="95"/>
  <c r="L102" i="95"/>
  <c r="L94" i="95"/>
  <c r="L86" i="95"/>
  <c r="L78" i="95"/>
  <c r="L56" i="95"/>
  <c r="L48" i="95"/>
  <c r="L40" i="95"/>
  <c r="L32" i="95"/>
  <c r="L24" i="95"/>
  <c r="L16" i="95"/>
  <c r="L8" i="95"/>
  <c r="L57" i="95"/>
  <c r="L49" i="95"/>
  <c r="L41" i="95"/>
  <c r="L33" i="95"/>
  <c r="L25" i="95"/>
  <c r="L17" i="95"/>
  <c r="L9" i="95"/>
  <c r="E184" i="94"/>
  <c r="E175" i="94"/>
  <c r="E168" i="94"/>
  <c r="E164" i="94"/>
  <c r="C155" i="94"/>
  <c r="E152" i="94"/>
  <c r="C150" i="94"/>
  <c r="C148" i="94"/>
  <c r="E137" i="94"/>
  <c r="E132" i="94"/>
  <c r="C130" i="94"/>
  <c r="E128" i="94"/>
  <c r="E126" i="94"/>
  <c r="C123" i="94"/>
  <c r="C121" i="94"/>
  <c r="E114" i="94"/>
  <c r="E112" i="94"/>
  <c r="E110" i="94"/>
  <c r="E108" i="94"/>
  <c r="C105" i="94"/>
  <c r="C103" i="94"/>
  <c r="C96" i="94"/>
  <c r="E94" i="94"/>
  <c r="C91" i="94"/>
  <c r="E86" i="94"/>
  <c r="C83" i="94"/>
  <c r="E81" i="94"/>
  <c r="C78" i="94"/>
  <c r="E73" i="94"/>
  <c r="C70" i="94"/>
  <c r="E68" i="94"/>
  <c r="C65" i="94"/>
  <c r="E63" i="94"/>
  <c r="E58" i="94"/>
  <c r="C55" i="94"/>
  <c r="C50" i="94"/>
  <c r="E45" i="94"/>
  <c r="C42" i="94"/>
  <c r="C37" i="94"/>
  <c r="E32" i="94"/>
  <c r="C29" i="94"/>
  <c r="E24" i="94"/>
  <c r="C21" i="94"/>
  <c r="E16" i="94"/>
  <c r="C13" i="94"/>
  <c r="E8" i="94"/>
  <c r="C5" i="94"/>
  <c r="C184" i="94"/>
  <c r="E179" i="94"/>
  <c r="C175" i="94"/>
  <c r="E170" i="94"/>
  <c r="C168" i="94"/>
  <c r="E166" i="94"/>
  <c r="C164" i="94"/>
  <c r="E161" i="94"/>
  <c r="E159" i="94"/>
  <c r="E157" i="94"/>
  <c r="C152" i="94"/>
  <c r="E141" i="94"/>
  <c r="E139" i="94"/>
  <c r="C137" i="94"/>
  <c r="C132" i="94"/>
  <c r="C128" i="94"/>
  <c r="C126" i="94"/>
  <c r="E119" i="94"/>
  <c r="C114" i="94"/>
  <c r="C112" i="94"/>
  <c r="C110" i="94"/>
  <c r="C108" i="94"/>
  <c r="E101" i="94"/>
  <c r="E99" i="94"/>
  <c r="C94" i="94"/>
  <c r="E89" i="94"/>
  <c r="C86" i="94"/>
  <c r="C81" i="94"/>
  <c r="E76" i="94"/>
  <c r="C73" i="94"/>
  <c r="C68" i="94"/>
  <c r="C63" i="94"/>
  <c r="E61" i="94"/>
  <c r="C58" i="94"/>
  <c r="E53" i="94"/>
  <c r="E48" i="94"/>
  <c r="C45" i="94"/>
  <c r="E40" i="94"/>
  <c r="E35" i="94"/>
  <c r="C32" i="94"/>
  <c r="E27" i="94"/>
  <c r="C24" i="94"/>
  <c r="E19" i="94"/>
  <c r="C16" i="94"/>
  <c r="E11" i="94"/>
  <c r="C8" i="94"/>
  <c r="E186" i="94"/>
  <c r="E181" i="94"/>
  <c r="C179" i="94"/>
  <c r="E177" i="94"/>
  <c r="E172" i="94"/>
  <c r="C170" i="94"/>
  <c r="C166" i="94"/>
  <c r="C161" i="94"/>
  <c r="C159" i="94"/>
  <c r="C157" i="94"/>
  <c r="E154" i="94"/>
  <c r="E145" i="94"/>
  <c r="E143" i="94"/>
  <c r="C141" i="94"/>
  <c r="C139" i="94"/>
  <c r="E134" i="94"/>
  <c r="E124" i="94"/>
  <c r="C119" i="94"/>
  <c r="E117" i="94"/>
  <c r="E106" i="94"/>
  <c r="C101" i="94"/>
  <c r="C99" i="94"/>
  <c r="E97" i="94"/>
  <c r="E92" i="94"/>
  <c r="C89" i="94"/>
  <c r="E84" i="94"/>
  <c r="E79" i="94"/>
  <c r="C76" i="94"/>
  <c r="E71" i="94"/>
  <c r="E66" i="94"/>
  <c r="C61" i="94"/>
  <c r="E56" i="94"/>
  <c r="C53" i="94"/>
  <c r="E51" i="94"/>
  <c r="C48" i="94"/>
  <c r="E43" i="94"/>
  <c r="C40" i="94"/>
  <c r="E38" i="94"/>
  <c r="C35" i="94"/>
  <c r="E30" i="94"/>
  <c r="C27" i="94"/>
  <c r="E22" i="94"/>
  <c r="C19" i="94"/>
  <c r="E14" i="94"/>
  <c r="C11" i="94"/>
  <c r="E6" i="94"/>
  <c r="I187" i="94"/>
  <c r="C186" i="94"/>
  <c r="E183" i="94"/>
  <c r="C181" i="94"/>
  <c r="C177" i="94"/>
  <c r="E174" i="94"/>
  <c r="C172" i="94"/>
  <c r="E163" i="94"/>
  <c r="C154" i="94"/>
  <c r="E151" i="94"/>
  <c r="E149" i="94"/>
  <c r="E147" i="94"/>
  <c r="C145" i="94"/>
  <c r="C143" i="94"/>
  <c r="E136" i="94"/>
  <c r="C134" i="94"/>
  <c r="E131" i="94"/>
  <c r="E129" i="94"/>
  <c r="C124" i="94"/>
  <c r="C117" i="94"/>
  <c r="E115" i="94"/>
  <c r="E109" i="94"/>
  <c r="C106" i="94"/>
  <c r="C97" i="94"/>
  <c r="C92" i="94"/>
  <c r="E87" i="94"/>
  <c r="C84" i="94"/>
  <c r="E82" i="94"/>
  <c r="C79" i="94"/>
  <c r="E74" i="94"/>
  <c r="C71" i="94"/>
  <c r="C66" i="94"/>
  <c r="E64" i="94"/>
  <c r="E59" i="94"/>
  <c r="C56" i="94"/>
  <c r="C51" i="94"/>
  <c r="E46" i="94"/>
  <c r="C43" i="94"/>
  <c r="C38" i="94"/>
  <c r="E33" i="94"/>
  <c r="C30" i="94"/>
  <c r="E25" i="94"/>
  <c r="C22" i="94"/>
  <c r="E17" i="94"/>
  <c r="C14" i="94"/>
  <c r="E9" i="94"/>
  <c r="C6" i="94"/>
  <c r="H187" i="94"/>
  <c r="C183" i="94"/>
  <c r="C174" i="94"/>
  <c r="E167" i="94"/>
  <c r="E165" i="94"/>
  <c r="C163" i="94"/>
  <c r="E160" i="94"/>
  <c r="E156" i="94"/>
  <c r="C151" i="94"/>
  <c r="C149" i="94"/>
  <c r="C147" i="94"/>
  <c r="C136" i="94"/>
  <c r="C131" i="94"/>
  <c r="C129" i="94"/>
  <c r="E122" i="94"/>
  <c r="E120" i="94"/>
  <c r="C115" i="94"/>
  <c r="E111" i="94"/>
  <c r="C109" i="94"/>
  <c r="E104" i="94"/>
  <c r="E102" i="94"/>
  <c r="E95" i="94"/>
  <c r="E90" i="94"/>
  <c r="C87" i="94"/>
  <c r="C82" i="94"/>
  <c r="E77" i="94"/>
  <c r="C74" i="94"/>
  <c r="E69" i="94"/>
  <c r="C64" i="94"/>
  <c r="C59" i="94"/>
  <c r="E54" i="94"/>
  <c r="E49" i="94"/>
  <c r="C46" i="94"/>
  <c r="E41" i="94"/>
  <c r="E36" i="94"/>
  <c r="C33" i="94"/>
  <c r="E28" i="94"/>
  <c r="C25" i="94"/>
  <c r="E20" i="94"/>
  <c r="C17" i="94"/>
  <c r="E12" i="94"/>
  <c r="C9" i="94"/>
  <c r="E4" i="94"/>
  <c r="E185" i="94"/>
  <c r="E176" i="94"/>
  <c r="E171" i="94"/>
  <c r="E169" i="94"/>
  <c r="C167" i="94"/>
  <c r="C165" i="94"/>
  <c r="C160" i="94"/>
  <c r="C156" i="94"/>
  <c r="E153" i="94"/>
  <c r="E142" i="94"/>
  <c r="E140" i="94"/>
  <c r="E138" i="94"/>
  <c r="E133" i="94"/>
  <c r="E127" i="94"/>
  <c r="E125" i="94"/>
  <c r="C122" i="94"/>
  <c r="C120" i="94"/>
  <c r="E118" i="94"/>
  <c r="E113" i="94"/>
  <c r="C111" i="94"/>
  <c r="E107" i="94"/>
  <c r="C104" i="94"/>
  <c r="C102" i="94"/>
  <c r="E100" i="94"/>
  <c r="E98" i="94"/>
  <c r="C95" i="94"/>
  <c r="E93" i="94"/>
  <c r="C90" i="94"/>
  <c r="E85" i="94"/>
  <c r="E80" i="94"/>
  <c r="C77" i="94"/>
  <c r="E72" i="94"/>
  <c r="C69" i="94"/>
  <c r="E67" i="94"/>
  <c r="E62" i="94"/>
  <c r="E57" i="94"/>
  <c r="C54" i="94"/>
  <c r="E52" i="94"/>
  <c r="C49" i="94"/>
  <c r="E44" i="94"/>
  <c r="C41" i="94"/>
  <c r="E39" i="94"/>
  <c r="C36" i="94"/>
  <c r="E31" i="94"/>
  <c r="C28" i="94"/>
  <c r="E23" i="94"/>
  <c r="C20" i="94"/>
  <c r="E15" i="94"/>
  <c r="C12" i="94"/>
  <c r="G52" i="93"/>
  <c r="G35" i="93"/>
  <c r="G131" i="93"/>
  <c r="E129" i="93"/>
  <c r="E127" i="93"/>
  <c r="E125" i="93"/>
  <c r="E123" i="93"/>
  <c r="E121" i="93"/>
  <c r="G114" i="93"/>
  <c r="G112" i="93"/>
  <c r="G110" i="93"/>
  <c r="G108" i="93"/>
  <c r="G106" i="93"/>
  <c r="G102" i="93"/>
  <c r="E100" i="93"/>
  <c r="C98" i="93"/>
  <c r="G93" i="93"/>
  <c r="G91" i="93"/>
  <c r="E89" i="93"/>
  <c r="C77" i="93"/>
  <c r="C75" i="93"/>
  <c r="C73" i="93"/>
  <c r="G71" i="93"/>
  <c r="C69" i="93"/>
  <c r="C67" i="93"/>
  <c r="E65" i="93"/>
  <c r="C62" i="93"/>
  <c r="E60" i="93"/>
  <c r="C57" i="93"/>
  <c r="E55" i="93"/>
  <c r="C53" i="93"/>
  <c r="E51" i="93"/>
  <c r="C46" i="93"/>
  <c r="E44" i="93"/>
  <c r="G42" i="93"/>
  <c r="E39" i="93"/>
  <c r="C36" i="93"/>
  <c r="E34" i="93"/>
  <c r="C31" i="93"/>
  <c r="G29" i="93"/>
  <c r="E26" i="93"/>
  <c r="C23" i="93"/>
  <c r="G21" i="93"/>
  <c r="E18" i="93"/>
  <c r="C15" i="93"/>
  <c r="G13" i="93"/>
  <c r="E10" i="93"/>
  <c r="C7" i="93"/>
  <c r="G5" i="93"/>
  <c r="G97" i="93"/>
  <c r="G56" i="93"/>
  <c r="G27" i="93"/>
  <c r="G128" i="93"/>
  <c r="G126" i="93"/>
  <c r="G124" i="93"/>
  <c r="G122" i="93"/>
  <c r="E120" i="93"/>
  <c r="C118" i="93"/>
  <c r="C116" i="93"/>
  <c r="C104" i="93"/>
  <c r="G101" i="93"/>
  <c r="G99" i="93"/>
  <c r="E97" i="93"/>
  <c r="C95" i="93"/>
  <c r="G90" i="93"/>
  <c r="E88" i="93"/>
  <c r="E86" i="93"/>
  <c r="C84" i="93"/>
  <c r="E82" i="93"/>
  <c r="C80" i="93"/>
  <c r="E78" i="93"/>
  <c r="G76" i="93"/>
  <c r="C74" i="93"/>
  <c r="G72" i="93"/>
  <c r="G70" i="93"/>
  <c r="G68" i="93"/>
  <c r="G66" i="93"/>
  <c r="C63" i="93"/>
  <c r="E61" i="93"/>
  <c r="C58" i="93"/>
  <c r="E56" i="93"/>
  <c r="G54" i="93"/>
  <c r="E52" i="93"/>
  <c r="C49" i="93"/>
  <c r="C47" i="93"/>
  <c r="E45" i="93"/>
  <c r="G43" i="93"/>
  <c r="E40" i="93"/>
  <c r="C37" i="93"/>
  <c r="E35" i="93"/>
  <c r="C32" i="93"/>
  <c r="G30" i="93"/>
  <c r="E27" i="93"/>
  <c r="C24" i="93"/>
  <c r="G22" i="93"/>
  <c r="E19" i="93"/>
  <c r="C16" i="93"/>
  <c r="G14" i="93"/>
  <c r="E11" i="93"/>
  <c r="C8" i="93"/>
  <c r="G6" i="93"/>
  <c r="G88" i="93"/>
  <c r="G40" i="93"/>
  <c r="G130" i="93"/>
  <c r="E128" i="93"/>
  <c r="E126" i="93"/>
  <c r="E124" i="93"/>
  <c r="E122" i="93"/>
  <c r="C120" i="93"/>
  <c r="G113" i="93"/>
  <c r="G111" i="93"/>
  <c r="G109" i="93"/>
  <c r="G107" i="93"/>
  <c r="G105" i="93"/>
  <c r="E101" i="93"/>
  <c r="E99" i="93"/>
  <c r="C97" i="93"/>
  <c r="G94" i="93"/>
  <c r="G92" i="93"/>
  <c r="E90" i="93"/>
  <c r="C88" i="93"/>
  <c r="C86" i="93"/>
  <c r="C82" i="93"/>
  <c r="C78" i="93"/>
  <c r="E76" i="93"/>
  <c r="E72" i="93"/>
  <c r="E70" i="93"/>
  <c r="E68" i="93"/>
  <c r="E66" i="93"/>
  <c r="G64" i="93"/>
  <c r="C61" i="93"/>
  <c r="G59" i="93"/>
  <c r="C56" i="93"/>
  <c r="E54" i="93"/>
  <c r="C52" i="93"/>
  <c r="G50" i="93"/>
  <c r="C45" i="93"/>
  <c r="E43" i="93"/>
  <c r="C40" i="93"/>
  <c r="G38" i="93"/>
  <c r="C35" i="93"/>
  <c r="G33" i="93"/>
  <c r="E30" i="93"/>
  <c r="C27" i="93"/>
  <c r="G25" i="93"/>
  <c r="E22" i="93"/>
  <c r="C19" i="93"/>
  <c r="G17" i="93"/>
  <c r="E14" i="93"/>
  <c r="C11" i="93"/>
  <c r="G9" i="93"/>
  <c r="E6" i="93"/>
  <c r="G120" i="93"/>
  <c r="G78" i="93"/>
  <c r="G19" i="93"/>
  <c r="E130" i="93"/>
  <c r="C128" i="93"/>
  <c r="C126" i="93"/>
  <c r="C124" i="93"/>
  <c r="C122" i="93"/>
  <c r="G119" i="93"/>
  <c r="G117" i="93"/>
  <c r="G115" i="93"/>
  <c r="E113" i="93"/>
  <c r="E111" i="93"/>
  <c r="E109" i="93"/>
  <c r="E107" i="93"/>
  <c r="E105" i="93"/>
  <c r="G103" i="93"/>
  <c r="C101" i="93"/>
  <c r="C99" i="93"/>
  <c r="G96" i="93"/>
  <c r="E94" i="93"/>
  <c r="E92" i="93"/>
  <c r="C90" i="93"/>
  <c r="G87" i="93"/>
  <c r="G85" i="93"/>
  <c r="G83" i="93"/>
  <c r="G81" i="93"/>
  <c r="G79" i="93"/>
  <c r="C76" i="93"/>
  <c r="C72" i="93"/>
  <c r="C70" i="93"/>
  <c r="C68" i="93"/>
  <c r="C66" i="93"/>
  <c r="E64" i="93"/>
  <c r="E59" i="93"/>
  <c r="C54" i="93"/>
  <c r="E50" i="93"/>
  <c r="G48" i="93"/>
  <c r="C43" i="93"/>
  <c r="G41" i="93"/>
  <c r="E38" i="93"/>
  <c r="E33" i="93"/>
  <c r="C30" i="93"/>
  <c r="G28" i="93"/>
  <c r="E25" i="93"/>
  <c r="C22" i="93"/>
  <c r="G20" i="93"/>
  <c r="E17" i="93"/>
  <c r="C14" i="93"/>
  <c r="G12" i="93"/>
  <c r="E9" i="93"/>
  <c r="C6" i="93"/>
  <c r="G4" i="93"/>
  <c r="G82" i="93"/>
  <c r="G61" i="93"/>
  <c r="G45" i="93"/>
  <c r="G11" i="93"/>
  <c r="C130" i="93"/>
  <c r="E119" i="93"/>
  <c r="E117" i="93"/>
  <c r="E115" i="93"/>
  <c r="C113" i="93"/>
  <c r="C111" i="93"/>
  <c r="C109" i="93"/>
  <c r="C107" i="93"/>
  <c r="C105" i="93"/>
  <c r="E103" i="93"/>
  <c r="G98" i="93"/>
  <c r="E96" i="93"/>
  <c r="C94" i="93"/>
  <c r="C92" i="93"/>
  <c r="E87" i="93"/>
  <c r="E85" i="93"/>
  <c r="E83" i="93"/>
  <c r="E81" i="93"/>
  <c r="E79" i="93"/>
  <c r="G77" i="93"/>
  <c r="G75" i="93"/>
  <c r="G73" i="93"/>
  <c r="G69" i="93"/>
  <c r="G67" i="93"/>
  <c r="C64" i="93"/>
  <c r="G62" i="93"/>
  <c r="C59" i="93"/>
  <c r="G57" i="93"/>
  <c r="G53" i="93"/>
  <c r="C50" i="93"/>
  <c r="E48" i="93"/>
  <c r="G46" i="93"/>
  <c r="E41" i="93"/>
  <c r="C38" i="93"/>
  <c r="G36" i="93"/>
  <c r="C33" i="93"/>
  <c r="G31" i="93"/>
  <c r="E28" i="93"/>
  <c r="C25" i="93"/>
  <c r="G23" i="93"/>
  <c r="E20" i="93"/>
  <c r="C17" i="93"/>
  <c r="G15" i="93"/>
  <c r="E12" i="93"/>
  <c r="C9" i="93"/>
  <c r="G7" i="93"/>
  <c r="E4" i="93"/>
  <c r="G86" i="93"/>
  <c r="I132" i="93"/>
  <c r="G129" i="93"/>
  <c r="G127" i="93"/>
  <c r="G125" i="93"/>
  <c r="G123" i="93"/>
  <c r="G121" i="93"/>
  <c r="C119" i="93"/>
  <c r="C117" i="93"/>
  <c r="C115" i="93"/>
  <c r="C103" i="93"/>
  <c r="G100" i="93"/>
  <c r="E98" i="93"/>
  <c r="C96" i="93"/>
  <c r="G89" i="93"/>
  <c r="C87" i="93"/>
  <c r="C85" i="93"/>
  <c r="C83" i="93"/>
  <c r="C81" i="93"/>
  <c r="C79" i="93"/>
  <c r="E77" i="93"/>
  <c r="E75" i="93"/>
  <c r="E73" i="93"/>
  <c r="E69" i="93"/>
  <c r="E67" i="93"/>
  <c r="G65" i="93"/>
  <c r="E62" i="93"/>
  <c r="G60" i="93"/>
  <c r="E57" i="93"/>
  <c r="G55" i="93"/>
  <c r="E53" i="93"/>
  <c r="G51" i="93"/>
  <c r="C48" i="93"/>
  <c r="E46" i="93"/>
  <c r="G44" i="93"/>
  <c r="C41" i="93"/>
  <c r="G39" i="93"/>
  <c r="E36" i="93"/>
  <c r="G34" i="93"/>
  <c r="E31" i="93"/>
  <c r="C28" i="93"/>
  <c r="G26" i="93"/>
  <c r="E23" i="93"/>
  <c r="C20" i="93"/>
  <c r="G18" i="93"/>
  <c r="E15" i="93"/>
  <c r="C12" i="93"/>
  <c r="H14" i="87"/>
  <c r="C11" i="87"/>
  <c r="C9" i="87"/>
  <c r="C7" i="87"/>
  <c r="C5" i="87"/>
  <c r="C13" i="87"/>
  <c r="G12" i="87"/>
  <c r="G10" i="87"/>
  <c r="G8" i="87"/>
  <c r="G6" i="87"/>
  <c r="C12" i="87"/>
  <c r="C10" i="87"/>
  <c r="C8" i="87"/>
  <c r="C6" i="87"/>
  <c r="E5" i="86"/>
  <c r="C5" i="86"/>
  <c r="H7" i="86"/>
  <c r="G6" i="86"/>
  <c r="E6" i="86"/>
  <c r="C6" i="86"/>
  <c r="E9" i="85"/>
  <c r="E7" i="85"/>
  <c r="E5" i="85"/>
  <c r="C12" i="85"/>
  <c r="C9" i="85"/>
  <c r="C7" i="85"/>
  <c r="C5" i="85"/>
  <c r="E13" i="85"/>
  <c r="E10" i="85"/>
  <c r="E8" i="85"/>
  <c r="E6" i="85"/>
  <c r="E4" i="85"/>
  <c r="E14" i="85" s="1"/>
  <c r="C13" i="85"/>
  <c r="C10" i="85"/>
  <c r="C8" i="85"/>
  <c r="C6" i="85"/>
  <c r="I149" i="95" l="1"/>
  <c r="J185" i="95"/>
  <c r="J117" i="95"/>
  <c r="J23" i="95"/>
  <c r="J156" i="95"/>
  <c r="I90" i="95"/>
  <c r="J154" i="95"/>
  <c r="J85" i="95"/>
  <c r="J104" i="95"/>
  <c r="I217" i="95"/>
  <c r="J167" i="95"/>
  <c r="J53" i="95"/>
  <c r="I172" i="95"/>
  <c r="J129" i="95"/>
  <c r="I16" i="95"/>
  <c r="J21" i="95"/>
  <c r="J40" i="95"/>
  <c r="I138" i="95"/>
  <c r="J72" i="95"/>
  <c r="I124" i="95"/>
  <c r="I133" i="95"/>
  <c r="J102" i="95"/>
  <c r="I243" i="95"/>
  <c r="I65" i="95"/>
  <c r="I129" i="95"/>
  <c r="I50" i="95"/>
  <c r="J70" i="95"/>
  <c r="I242" i="95"/>
  <c r="I227" i="95"/>
  <c r="J183" i="95"/>
  <c r="I33" i="95"/>
  <c r="J241" i="95"/>
  <c r="I142" i="95"/>
  <c r="I118" i="95"/>
  <c r="I89" i="95"/>
  <c r="I18" i="95"/>
  <c r="J87" i="95"/>
  <c r="J170" i="95"/>
  <c r="J49" i="95"/>
  <c r="J244" i="95"/>
  <c r="I244" i="95"/>
  <c r="I193" i="95"/>
  <c r="I58" i="95"/>
  <c r="I127" i="95"/>
  <c r="I67" i="95"/>
  <c r="J38" i="95"/>
  <c r="J8" i="95"/>
  <c r="J98" i="95"/>
  <c r="I153" i="95"/>
  <c r="J222" i="95"/>
  <c r="J59" i="95"/>
  <c r="I35" i="95"/>
  <c r="J6" i="95"/>
  <c r="J206" i="95"/>
  <c r="I137" i="95"/>
  <c r="E14" i="87"/>
  <c r="J153" i="95"/>
  <c r="I183" i="95"/>
  <c r="I205" i="95"/>
  <c r="J225" i="95"/>
  <c r="I176" i="95"/>
  <c r="J137" i="95"/>
  <c r="I72" i="95"/>
  <c r="I197" i="95"/>
  <c r="I157" i="95"/>
  <c r="J124" i="95"/>
  <c r="I189" i="95"/>
  <c r="J158" i="95"/>
  <c r="J105" i="95"/>
  <c r="J150" i="95"/>
  <c r="J132" i="95"/>
  <c r="J66" i="95"/>
  <c r="I228" i="95"/>
  <c r="J187" i="95"/>
  <c r="I136" i="95"/>
  <c r="J91" i="95"/>
  <c r="I126" i="95"/>
  <c r="I192" i="95"/>
  <c r="J160" i="95"/>
  <c r="J128" i="95"/>
  <c r="I66" i="95"/>
  <c r="J125" i="95"/>
  <c r="J41" i="95"/>
  <c r="J34" i="95"/>
  <c r="J51" i="95"/>
  <c r="J19" i="95"/>
  <c r="J100" i="95"/>
  <c r="J68" i="95"/>
  <c r="J36" i="95"/>
  <c r="J4" i="95"/>
  <c r="I92" i="95"/>
  <c r="I60" i="95"/>
  <c r="I28" i="95"/>
  <c r="I109" i="95"/>
  <c r="I77" i="95"/>
  <c r="I45" i="95"/>
  <c r="I13" i="95"/>
  <c r="I94" i="95"/>
  <c r="I62" i="95"/>
  <c r="I30" i="95"/>
  <c r="I111" i="95"/>
  <c r="I79" i="95"/>
  <c r="I47" i="95"/>
  <c r="I15" i="95"/>
  <c r="I166" i="95"/>
  <c r="J197" i="95"/>
  <c r="I164" i="95"/>
  <c r="I200" i="95"/>
  <c r="J219" i="95"/>
  <c r="L245" i="95"/>
  <c r="J229" i="95"/>
  <c r="J159" i="95"/>
  <c r="I187" i="95"/>
  <c r="J208" i="95"/>
  <c r="J243" i="95"/>
  <c r="J164" i="95"/>
  <c r="J130" i="95"/>
  <c r="I56" i="95"/>
  <c r="J189" i="95"/>
  <c r="J149" i="95"/>
  <c r="I114" i="95"/>
  <c r="I181" i="95"/>
  <c r="I144" i="95"/>
  <c r="J82" i="95"/>
  <c r="I121" i="95"/>
  <c r="I125" i="95"/>
  <c r="I40" i="95"/>
  <c r="I219" i="95"/>
  <c r="J171" i="95"/>
  <c r="J126" i="95"/>
  <c r="J81" i="95"/>
  <c r="I122" i="95"/>
  <c r="J179" i="95"/>
  <c r="J147" i="95"/>
  <c r="J118" i="95"/>
  <c r="I24" i="95"/>
  <c r="J114" i="95"/>
  <c r="J58" i="95"/>
  <c r="J26" i="95"/>
  <c r="J43" i="95"/>
  <c r="J11" i="95"/>
  <c r="J92" i="95"/>
  <c r="J60" i="95"/>
  <c r="J28" i="95"/>
  <c r="I116" i="95"/>
  <c r="I84" i="95"/>
  <c r="I52" i="95"/>
  <c r="I20" i="95"/>
  <c r="I101" i="95"/>
  <c r="I69" i="95"/>
  <c r="I37" i="95"/>
  <c r="I5" i="95"/>
  <c r="I86" i="95"/>
  <c r="I54" i="95"/>
  <c r="I22" i="95"/>
  <c r="I103" i="95"/>
  <c r="I71" i="95"/>
  <c r="I39" i="95"/>
  <c r="I7" i="95"/>
  <c r="I170" i="95"/>
  <c r="J203" i="95"/>
  <c r="I120" i="95"/>
  <c r="J178" i="95"/>
  <c r="J218" i="95"/>
  <c r="J172" i="95"/>
  <c r="I226" i="95"/>
  <c r="I213" i="95"/>
  <c r="I199" i="95"/>
  <c r="I156" i="95"/>
  <c r="I32" i="95"/>
  <c r="J181" i="95"/>
  <c r="J146" i="95"/>
  <c r="I98" i="95"/>
  <c r="I174" i="95"/>
  <c r="J138" i="95"/>
  <c r="I48" i="95"/>
  <c r="I113" i="95"/>
  <c r="J119" i="95"/>
  <c r="I240" i="95"/>
  <c r="J213" i="95"/>
  <c r="J122" i="95"/>
  <c r="J73" i="95"/>
  <c r="I96" i="95"/>
  <c r="I178" i="95"/>
  <c r="I146" i="95"/>
  <c r="J115" i="95"/>
  <c r="J9" i="95"/>
  <c r="J83" i="95"/>
  <c r="I57" i="95"/>
  <c r="I25" i="95"/>
  <c r="I42" i="95"/>
  <c r="I10" i="95"/>
  <c r="I91" i="95"/>
  <c r="I59" i="95"/>
  <c r="I27" i="95"/>
  <c r="J109" i="95"/>
  <c r="J77" i="95"/>
  <c r="J45" i="95"/>
  <c r="J13" i="95"/>
  <c r="J94" i="95"/>
  <c r="J62" i="95"/>
  <c r="J30" i="95"/>
  <c r="J111" i="95"/>
  <c r="J79" i="95"/>
  <c r="J47" i="95"/>
  <c r="J15" i="95"/>
  <c r="J96" i="95"/>
  <c r="J64" i="95"/>
  <c r="J32" i="95"/>
  <c r="J175" i="95"/>
  <c r="J224" i="95"/>
  <c r="I241" i="95"/>
  <c r="I182" i="95"/>
  <c r="I230" i="95"/>
  <c r="J238" i="95"/>
  <c r="I188" i="95"/>
  <c r="J209" i="95"/>
  <c r="J226" i="95"/>
  <c r="I222" i="95"/>
  <c r="I210" i="95"/>
  <c r="J127" i="95"/>
  <c r="J163" i="95"/>
  <c r="J173" i="95"/>
  <c r="J215" i="95"/>
  <c r="J233" i="95"/>
  <c r="J196" i="95"/>
  <c r="J152" i="95"/>
  <c r="I123" i="95"/>
  <c r="I215" i="95"/>
  <c r="I177" i="95"/>
  <c r="J144" i="95"/>
  <c r="J90" i="95"/>
  <c r="I169" i="95"/>
  <c r="J135" i="95"/>
  <c r="I8" i="95"/>
  <c r="I105" i="95"/>
  <c r="J107" i="95"/>
  <c r="J237" i="95"/>
  <c r="I209" i="95"/>
  <c r="I159" i="95"/>
  <c r="I119" i="95"/>
  <c r="J33" i="95"/>
  <c r="J65" i="95"/>
  <c r="J174" i="95"/>
  <c r="J142" i="95"/>
  <c r="J113" i="95"/>
  <c r="J145" i="95"/>
  <c r="I81" i="95"/>
  <c r="J50" i="95"/>
  <c r="J18" i="95"/>
  <c r="J35" i="95"/>
  <c r="J116" i="95"/>
  <c r="J84" i="95"/>
  <c r="J52" i="95"/>
  <c r="J20" i="95"/>
  <c r="I108" i="95"/>
  <c r="I76" i="95"/>
  <c r="I44" i="95"/>
  <c r="I12" i="95"/>
  <c r="I93" i="95"/>
  <c r="I61" i="95"/>
  <c r="I29" i="95"/>
  <c r="I110" i="95"/>
  <c r="I78" i="95"/>
  <c r="I46" i="95"/>
  <c r="I14" i="95"/>
  <c r="I95" i="95"/>
  <c r="I63" i="95"/>
  <c r="I31" i="95"/>
  <c r="I229" i="95"/>
  <c r="J176" i="95"/>
  <c r="J190" i="95"/>
  <c r="I140" i="95"/>
  <c r="J230" i="95"/>
  <c r="I175" i="95"/>
  <c r="I195" i="95"/>
  <c r="J188" i="95"/>
  <c r="I148" i="95"/>
  <c r="J120" i="95"/>
  <c r="I211" i="95"/>
  <c r="J169" i="95"/>
  <c r="J141" i="95"/>
  <c r="J67" i="95"/>
  <c r="J166" i="95"/>
  <c r="I131" i="95"/>
  <c r="J162" i="95"/>
  <c r="J97" i="95"/>
  <c r="J99" i="95"/>
  <c r="I236" i="95"/>
  <c r="J205" i="95"/>
  <c r="I155" i="95"/>
  <c r="I117" i="95"/>
  <c r="J17" i="95"/>
  <c r="J207" i="95"/>
  <c r="I173" i="95"/>
  <c r="I141" i="95"/>
  <c r="J106" i="95"/>
  <c r="I139" i="95"/>
  <c r="I74" i="95"/>
  <c r="I49" i="95"/>
  <c r="I17" i="95"/>
  <c r="I34" i="95"/>
  <c r="I115" i="95"/>
  <c r="I83" i="95"/>
  <c r="I51" i="95"/>
  <c r="I19" i="95"/>
  <c r="J101" i="95"/>
  <c r="J69" i="95"/>
  <c r="J37" i="95"/>
  <c r="J5" i="95"/>
  <c r="J86" i="95"/>
  <c r="J54" i="95"/>
  <c r="J22" i="95"/>
  <c r="J103" i="95"/>
  <c r="J71" i="95"/>
  <c r="J39" i="95"/>
  <c r="J7" i="95"/>
  <c r="J88" i="95"/>
  <c r="J56" i="95"/>
  <c r="J24" i="95"/>
  <c r="J210" i="95"/>
  <c r="J227" i="95"/>
  <c r="K245" i="95"/>
  <c r="J212" i="95"/>
  <c r="J182" i="95"/>
  <c r="J221" i="95"/>
  <c r="J214" i="95"/>
  <c r="I234" i="95"/>
  <c r="J204" i="95"/>
  <c r="I171" i="95"/>
  <c r="J184" i="95"/>
  <c r="I143" i="95"/>
  <c r="I88" i="95"/>
  <c r="I207" i="95"/>
  <c r="J165" i="95"/>
  <c r="J25" i="95"/>
  <c r="I165" i="95"/>
  <c r="I128" i="95"/>
  <c r="I158" i="95"/>
  <c r="I82" i="95"/>
  <c r="I97" i="95"/>
  <c r="J232" i="95"/>
  <c r="J195" i="95"/>
  <c r="J151" i="95"/>
  <c r="I112" i="95"/>
  <c r="I145" i="95"/>
  <c r="J202" i="95"/>
  <c r="J168" i="95"/>
  <c r="J136" i="95"/>
  <c r="J75" i="95"/>
  <c r="J133" i="95"/>
  <c r="I64" i="95"/>
  <c r="J42" i="95"/>
  <c r="J10" i="95"/>
  <c r="J27" i="95"/>
  <c r="J108" i="95"/>
  <c r="J76" i="95"/>
  <c r="J44" i="95"/>
  <c r="J12" i="95"/>
  <c r="I100" i="95"/>
  <c r="I68" i="95"/>
  <c r="I36" i="95"/>
  <c r="I4" i="95"/>
  <c r="I85" i="95"/>
  <c r="I53" i="95"/>
  <c r="I21" i="95"/>
  <c r="I102" i="95"/>
  <c r="I70" i="95"/>
  <c r="I38" i="95"/>
  <c r="I6" i="95"/>
  <c r="I87" i="95"/>
  <c r="I55" i="95"/>
  <c r="I23" i="95"/>
  <c r="I147" i="95"/>
  <c r="I212" i="95"/>
  <c r="J192" i="95"/>
  <c r="I160" i="95"/>
  <c r="J193" i="95"/>
  <c r="I235" i="95"/>
  <c r="I106" i="95"/>
  <c r="I186" i="95"/>
  <c r="I130" i="95"/>
  <c r="I196" i="95"/>
  <c r="I216" i="95"/>
  <c r="I179" i="95"/>
  <c r="J236" i="95"/>
  <c r="I134" i="95"/>
  <c r="I151" i="95"/>
  <c r="I203" i="95"/>
  <c r="I224" i="95"/>
  <c r="J242" i="95"/>
  <c r="J180" i="95"/>
  <c r="J140" i="95"/>
  <c r="I80" i="95"/>
  <c r="J200" i="95"/>
  <c r="J161" i="95"/>
  <c r="J131" i="95"/>
  <c r="J194" i="95"/>
  <c r="I161" i="95"/>
  <c r="J121" i="95"/>
  <c r="I154" i="95"/>
  <c r="J74" i="95"/>
  <c r="J89" i="95"/>
  <c r="I231" i="95"/>
  <c r="I191" i="95"/>
  <c r="J139" i="95"/>
  <c r="I104" i="95"/>
  <c r="J143" i="95"/>
  <c r="I201" i="95"/>
  <c r="I167" i="95"/>
  <c r="I135" i="95"/>
  <c r="I73" i="95"/>
  <c r="I132" i="95"/>
  <c r="J57" i="95"/>
  <c r="I41" i="95"/>
  <c r="I9" i="95"/>
  <c r="I26" i="95"/>
  <c r="I107" i="95"/>
  <c r="I75" i="95"/>
  <c r="I43" i="95"/>
  <c r="I11" i="95"/>
  <c r="J93" i="95"/>
  <c r="J61" i="95"/>
  <c r="J29" i="95"/>
  <c r="J110" i="95"/>
  <c r="J78" i="95"/>
  <c r="J46" i="95"/>
  <c r="J14" i="95"/>
  <c r="J95" i="95"/>
  <c r="J63" i="95"/>
  <c r="J31" i="95"/>
  <c r="J112" i="95"/>
  <c r="J80" i="95"/>
  <c r="J48" i="95"/>
  <c r="J16" i="95"/>
  <c r="J191" i="95"/>
  <c r="I232" i="95"/>
  <c r="I162" i="95"/>
  <c r="J217" i="95"/>
  <c r="I238" i="95"/>
  <c r="I190" i="95"/>
  <c r="I198" i="95"/>
  <c r="I237" i="95"/>
  <c r="J239" i="95"/>
  <c r="I163" i="95"/>
  <c r="I150" i="95"/>
  <c r="I180" i="95"/>
  <c r="I214" i="95"/>
  <c r="J235" i="95"/>
  <c r="J155" i="95"/>
  <c r="I206" i="95"/>
  <c r="J177" i="95"/>
  <c r="J220" i="95"/>
  <c r="J211" i="95"/>
  <c r="J228" i="95"/>
  <c r="J201" i="95"/>
  <c r="I225" i="95"/>
  <c r="I239" i="95"/>
  <c r="I168" i="95"/>
  <c r="J134" i="95"/>
  <c r="I184" i="95"/>
  <c r="J148" i="95"/>
  <c r="I194" i="95"/>
  <c r="J216" i="95"/>
  <c r="I220" i="95"/>
  <c r="J199" i="95"/>
  <c r="I202" i="95"/>
  <c r="I152" i="95"/>
  <c r="J186" i="95"/>
  <c r="I204" i="95"/>
  <c r="I223" i="95"/>
  <c r="J240" i="95"/>
  <c r="J198" i="95"/>
  <c r="I218" i="95"/>
  <c r="J234" i="95"/>
  <c r="I208" i="95"/>
  <c r="I233" i="95"/>
  <c r="C187" i="94"/>
  <c r="E187" i="94"/>
  <c r="C132" i="93"/>
  <c r="G14" i="87"/>
  <c r="C14" i="87"/>
  <c r="G7" i="86"/>
  <c r="E7" i="86"/>
  <c r="C7" i="86"/>
  <c r="C14" i="85"/>
  <c r="C258" i="97"/>
  <c r="E258" i="97"/>
  <c r="G258" i="97"/>
  <c r="G133" i="96"/>
  <c r="E133" i="96"/>
  <c r="C133" i="96"/>
  <c r="E245" i="95"/>
  <c r="C245" i="95"/>
  <c r="G187" i="94"/>
  <c r="G132" i="93"/>
  <c r="E132" i="93"/>
  <c r="J245" i="95" l="1"/>
  <c r="I245" i="95"/>
</calcChain>
</file>

<file path=xl/sharedStrings.xml><?xml version="1.0" encoding="utf-8"?>
<sst xmlns="http://schemas.openxmlformats.org/spreadsheetml/2006/main" count="5840" uniqueCount="1021">
  <si>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</si>
  <si>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</si>
  <si>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</si>
  <si>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</si>
  <si>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</si>
  <si>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</si>
  <si>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</si>
  <si>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</si>
  <si>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</si>
  <si>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</si>
  <si>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</si>
  <si>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</si>
  <si>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</si>
  <si>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</si>
  <si>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</si>
  <si>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</si>
  <si>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</si>
  <si>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</si>
  <si>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</si>
  <si>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</si>
  <si>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</si>
  <si>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</si>
  <si>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</si>
  <si>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</si>
  <si>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</si>
  <si>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</si>
  <si>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</si>
  <si>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</si>
  <si>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</si>
  <si>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</si>
  <si>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</si>
  <si>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</si>
  <si>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</si>
  <si>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</si>
  <si>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</si>
  <si>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</si>
  <si>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</si>
  <si>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</si>
  <si>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</si>
  <si>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</si>
  <si>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</si>
  <si>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</si>
  <si>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</si>
  <si>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</si>
  <si>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</si>
  <si>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</si>
  <si>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</si>
  <si>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</si>
  <si>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</si>
  <si>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</si>
  <si>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</si>
  <si>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</si>
  <si>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</si>
  <si>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</si>
  <si>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</si>
  <si>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</si>
  <si>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</si>
  <si>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</si>
  <si>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</si>
  <si>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</si>
  <si>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</si>
  <si>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</si>
  <si>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</si>
  <si>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</si>
  <si>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</si>
  <si>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</si>
  <si>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</si>
  <si>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</si>
  <si>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</si>
  <si>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</si>
  <si>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</si>
  <si>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</si>
  <si>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</si>
  <si>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</si>
  <si>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</si>
  <si>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</si>
  <si>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</si>
  <si>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</si>
  <si>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</si>
  <si>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</si>
  <si>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</si>
  <si>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</si>
  <si>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</si>
  <si>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</si>
  <si>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</si>
  <si>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</si>
  <si>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</si>
  <si>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</si>
  <si>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</si>
  <si>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</si>
  <si>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</si>
  <si>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</si>
  <si>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</si>
  <si>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</si>
  <si>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</si>
  <si>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</si>
  <si>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</si>
  <si>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</si>
  <si>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</si>
  <si>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</si>
  <si>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</si>
  <si>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</si>
  <si>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</si>
  <si>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</si>
  <si>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</si>
  <si>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</si>
  <si>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</si>
  <si>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</si>
  <si>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</si>
  <si>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</si>
  <si>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</si>
  <si>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</si>
  <si>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</si>
  <si>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</si>
  <si>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</si>
  <si>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</si>
  <si>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</si>
  <si>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</si>
  <si>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</si>
  <si>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</si>
  <si>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</si>
  <si>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</si>
  <si>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</si>
  <si>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</si>
  <si>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</si>
  <si>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</si>
  <si>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</si>
  <si>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</si>
  <si>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</si>
  <si>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</si>
  <si>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</si>
  <si>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</si>
  <si>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</si>
  <si>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</si>
  <si>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</si>
  <si>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</si>
  <si>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</si>
  <si>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</si>
  <si>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</si>
  <si>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</si>
  <si>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</si>
  <si>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</si>
  <si>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</si>
  <si>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</si>
  <si>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</si>
  <si>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</si>
  <si>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</si>
  <si>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</si>
  <si>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</si>
  <si>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</si>
  <si>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</si>
  <si>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</si>
  <si>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</si>
  <si>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</si>
  <si>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</si>
  <si>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</si>
  <si>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</si>
  <si>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</si>
  <si>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</si>
  <si>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</si>
  <si>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</si>
  <si>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</si>
  <si>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</si>
  <si>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</si>
  <si>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</si>
  <si>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</si>
  <si>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</si>
  <si>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</si>
  <si>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</si>
  <si>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</si>
  <si>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</si>
  <si>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</si>
  <si>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</si>
  <si>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</si>
  <si>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</si>
  <si>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</si>
  <si>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</si>
  <si>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</si>
  <si>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</si>
  <si>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</si>
  <si>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</si>
  <si>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</si>
  <si>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</si>
  <si>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</si>
  <si>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</si>
  <si>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</si>
  <si>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</si>
  <si>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</si>
  <si>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</si>
  <si>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</si>
  <si>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</si>
  <si>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</si>
  <si>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</si>
  <si>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</si>
  <si>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</si>
  <si>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</si>
  <si>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</si>
  <si>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</si>
  <si>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</si>
  <si>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</si>
  <si>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</si>
  <si>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</si>
  <si>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</si>
  <si>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</si>
  <si>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</si>
  <si>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</si>
  <si>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</si>
  <si>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</si>
  <si>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</si>
  <si>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</si>
  <si>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</si>
  <si>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</si>
  <si>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</si>
  <si>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</si>
  <si>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</si>
  <si>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</si>
  <si>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</si>
  <si>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</si>
  <si>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</si>
  <si>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</si>
  <si>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</si>
  <si>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</si>
  <si>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</si>
  <si>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</si>
  <si>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</si>
  <si>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</si>
  <si>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</si>
  <si>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</si>
  <si>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</si>
  <si>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</si>
  <si>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</si>
  <si>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</si>
  <si>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</si>
  <si>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</si>
  <si>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</si>
  <si>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</si>
  <si>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</si>
  <si>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</si>
  <si>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</si>
  <si>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</si>
  <si>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</si>
  <si>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</si>
  <si>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</si>
  <si>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</si>
  <si>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</si>
  <si>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</si>
  <si>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</si>
  <si>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</si>
  <si>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</si>
  <si>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</si>
  <si>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</si>
  <si>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</si>
  <si>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</si>
  <si>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</si>
  <si>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</si>
  <si>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</si>
  <si>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</si>
  <si>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</si>
  <si>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</si>
  <si>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</si>
  <si>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</si>
  <si>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</si>
  <si>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</si>
  <si>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</si>
  <si>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</si>
  <si>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</si>
  <si>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</si>
  <si>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</si>
  <si>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</si>
  <si>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</si>
  <si>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</si>
  <si>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</si>
  <si>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</si>
  <si>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</si>
  <si>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</si>
  <si>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</si>
  <si>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</si>
  <si>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</si>
  <si>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</si>
  <si>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</si>
  <si>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</si>
  <si>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</si>
  <si>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</si>
  <si>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</si>
  <si>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</si>
  <si>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</si>
  <si>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</si>
  <si>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</si>
  <si>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</si>
  <si>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</si>
  <si>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</si>
  <si>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</si>
  <si>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</si>
  <si>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</si>
  <si>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</si>
  <si>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</si>
  <si>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</si>
  <si>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</si>
  <si>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</si>
  <si>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</si>
  <si>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</si>
  <si>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</si>
  <si>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</si>
  <si>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</si>
  <si>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</si>
  <si>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</si>
  <si>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</si>
  <si>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</si>
  <si>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</si>
  <si>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</si>
  <si>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</si>
  <si>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</si>
  <si>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</si>
  <si>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</si>
  <si>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</si>
  <si>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Togo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</si>
  <si>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</si>
  <si>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</si>
  <si>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</si>
  <si>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</si>
  <si>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</si>
  <si>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</si>
  <si>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</si>
  <si>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</si>
  <si>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Table 32: AfCFTA</t>
  </si>
  <si>
    <t>Table 33: Food items</t>
  </si>
  <si>
    <t>Table 34: Beverages</t>
  </si>
  <si>
    <t>Algeria</t>
  </si>
  <si>
    <t>Table 2: Cumulative Trade Value - 2024</t>
  </si>
  <si>
    <t>Table 3: Cumulative Trade value - 2025</t>
  </si>
  <si>
    <t>Table 27: Export by NetWeight</t>
  </si>
  <si>
    <t>Table 28: Import by mode of transport</t>
  </si>
  <si>
    <t>Table 29: Imported commodity by mode of transport</t>
  </si>
  <si>
    <t>Benin</t>
  </si>
  <si>
    <t>Table 35: Commodity of the month</t>
  </si>
  <si>
    <t>Sudan</t>
  </si>
  <si>
    <t>Burundi</t>
  </si>
  <si>
    <t>United Kingdom(Un Of Gb&amp;North Irela</t>
  </si>
  <si>
    <t>Libya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</si>
  <si>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</si>
  <si>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</si>
  <si>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</si>
  <si>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</si>
  <si>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</si>
  <si>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</si>
  <si>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</si>
  <si>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</si>
  <si>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</si>
  <si>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</si>
  <si>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</si>
  <si>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</si>
  <si>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</si>
  <si>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</si>
  <si>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</si>
  <si>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</si>
  <si>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</si>
  <si>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</si>
  <si>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</si>
  <si>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</si>
  <si>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</si>
  <si>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</si>
  <si>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</si>
  <si>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</si>
  <si>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</si>
  <si>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</si>
  <si>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</si>
  <si>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</si>
  <si>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</si>
  <si>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</si>
  <si>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</si>
  <si>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</si>
  <si>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</si>
  <si>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</si>
  <si>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</si>
  <si>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</si>
  <si>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</si>
  <si>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</si>
  <si>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</si>
  <si>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</si>
  <si>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</si>
  <si>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</si>
  <si>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</si>
  <si>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</si>
  <si>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</si>
  <si>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</si>
  <si>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121:Tobacco, unmanufactured; tobacco refuse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</si>
  <si>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</si>
  <si>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</si>
  <si>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</si>
  <si>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</si>
  <si>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</si>
  <si>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</si>
  <si>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</si>
  <si>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</si>
  <si>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</si>
  <si>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</si>
  <si>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</si>
  <si>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</si>
  <si>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</si>
  <si>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</si>
  <si>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</si>
  <si>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687:Tin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</si>
  <si>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</si>
  <si>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</si>
  <si>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</si>
  <si>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</si>
  <si>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</si>
  <si>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</si>
  <si>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Keetmanshoop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</si>
  <si>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</si>
  <si>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</si>
  <si>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</si>
  <si>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</si>
  <si>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</si>
  <si>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</si>
  <si>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</si>
  <si>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</si>
  <si>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</si>
  <si>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</si>
  <si>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</si>
  <si>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</si>
  <si>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</si>
  <si>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</si>
  <si>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</si>
  <si>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</si>
  <si>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</si>
  <si>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</si>
  <si>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</si>
  <si>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</si>
  <si>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Trade Balance</t>
  </si>
  <si>
    <t>Intra-Africa imports</t>
  </si>
  <si>
    <t>Intra-Africa exports</t>
  </si>
  <si>
    <t>2022</t>
  </si>
  <si>
    <t>2021</t>
  </si>
  <si>
    <t>2020</t>
  </si>
  <si>
    <t>2019</t>
  </si>
  <si>
    <t>2018</t>
  </si>
  <si>
    <t>2017</t>
  </si>
  <si>
    <t>2016</t>
  </si>
  <si>
    <t>FLOW \ Year</t>
  </si>
  <si>
    <t>Namibia Intra Africa Trade, 2016 - 2024, (N$ m)</t>
  </si>
  <si>
    <t xml:space="preserve">Table 32: Africa Continental Free Trade Area (N$ m) </t>
  </si>
  <si>
    <t>Average</t>
  </si>
  <si>
    <t>% Share</t>
  </si>
  <si>
    <t>Imports(N$ m)</t>
  </si>
  <si>
    <t xml:space="preserve">Partner </t>
  </si>
  <si>
    <t>% Δ-IM</t>
  </si>
  <si>
    <t>Exports(N$ m)</t>
  </si>
  <si>
    <t>Months</t>
  </si>
  <si>
    <t xml:space="preserve">Inland waterways </t>
  </si>
  <si>
    <t>Rundu</t>
  </si>
  <si>
    <t>Swaziland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</si>
  <si>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</si>
  <si>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</si>
  <si>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</si>
  <si>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</si>
  <si>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</si>
  <si>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</si>
  <si>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</si>
  <si>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</si>
  <si>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</si>
  <si>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</si>
  <si>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</si>
  <si>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</si>
  <si>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</si>
  <si>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</si>
  <si>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</si>
  <si>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19: Preparations of cereals, flour, starch or milk; pastrycooks' products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</si>
  <si>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</si>
  <si>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</si>
  <si>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</si>
  <si>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</si>
  <si>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</si>
  <si>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2024</t>
  </si>
  <si>
    <t>Trade balance</t>
  </si>
  <si>
    <t xml:space="preserve">Period </t>
  </si>
  <si>
    <t xml:space="preserve">Trade on Food Items </t>
  </si>
  <si>
    <t>2025</t>
  </si>
  <si>
    <t>274: Sulphur and unroasted iron pyrites</t>
  </si>
  <si>
    <t>971: Gold, non-monetary (excluding gold ores and concentrates)</t>
  </si>
  <si>
    <t>673: Flat-rolled products of iron or non-alloy steel, not clad, plated or coated</t>
  </si>
  <si>
    <t>931: Special transactions and commodities not classified according to kind</t>
  </si>
  <si>
    <t>541: Medicinal and pharmaceutical products, other than medicaments of group 542</t>
  </si>
  <si>
    <t>899: Miscellaneous manufactured articles,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</si>
  <si>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</si>
  <si>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898: Musical instruments and parts and accessories thereof; records, tapes and other sound or similar recordings (excluding goods of groups 763 and 883)</t>
  </si>
  <si>
    <t>731: Machine tools working by removing metal or other material</t>
  </si>
  <si>
    <t>897: Jewellery, goldsmiths' and silversmiths' wares, and other articles of precious or semiprecious materials, n.e.s.</t>
  </si>
  <si>
    <t>784: Parts and accessories of the motor vehicles of groups 722, 781, 782 and 783</t>
  </si>
  <si>
    <t>896: Works of art, collectors' pieces and antiques</t>
  </si>
  <si>
    <t>658: Made-up articles, wholly or chiefly of textile materials, n.e.s.</t>
  </si>
  <si>
    <t>895: Office and stationery supplies, n.e.s.</t>
  </si>
  <si>
    <t>247: Wood in the rough, whether or not stripped of bark or sapwood, or roughly squared</t>
  </si>
  <si>
    <t>894: Baby carriages, toys, games and sporting goods</t>
  </si>
  <si>
    <t>598: Miscellaneous chemical products, n.e.s.</t>
  </si>
  <si>
    <t>893: Articles, n.e.s., of plastics</t>
  </si>
  <si>
    <t>851: Footwear</t>
  </si>
  <si>
    <t>892: Printed matter</t>
  </si>
  <si>
    <t>874: Measuring, checking, analysing and controlling instruments and apparatus, n.e.s.</t>
  </si>
  <si>
    <t>891: Arms and ammunition</t>
  </si>
  <si>
    <t>764: Telecommunications equipment, n.e.s., and parts, n.e.s., and accessories of apparatus falling within division 76</t>
  </si>
  <si>
    <t>885: Watches and clocks</t>
  </si>
  <si>
    <t>848: Articles of apparel and clothing accessories of other than textile fabrics; headgear of all materials</t>
  </si>
  <si>
    <t>884: Optical goods, n.e.s.</t>
  </si>
  <si>
    <t>554: Soap, cleansing and polishing preparations</t>
  </si>
  <si>
    <t>882: Photographic and cinematographic supplies</t>
  </si>
  <si>
    <t>111: Non-alcoholic beverages, n.e.s.</t>
  </si>
  <si>
    <t>881: Photographic apparatus and equipment, n.e.s.</t>
  </si>
  <si>
    <t>635: Wood manufactures, n.e.s.</t>
  </si>
  <si>
    <t>873: Meters and counters, n.e.s.</t>
  </si>
  <si>
    <t xml:space="preserve">831: Trunks, suitcases, vanity cases, executive cases, briefcases, school satches, spectacle cases, binocular cases, camera cases, </t>
  </si>
  <si>
    <t>872: Instruments and appliances, n.e.s., for medical, surgical, dental or veterinary purposes</t>
  </si>
  <si>
    <t>664: Glass</t>
  </si>
  <si>
    <t>871: Optical instruments and apparatus, n.e.s.</t>
  </si>
  <si>
    <t>741: Heating and cooling equipment and parts thereof, n.e.s.</t>
  </si>
  <si>
    <t>695: Tools for use in the hand or in machines</t>
  </si>
  <si>
    <t>846: Clothing accessories, of textile fabrics, whether or not knitted or crocheted (other than those for babies)</t>
  </si>
  <si>
    <t>841: Men's or boys' coats, capes, jackets, suits, blazers, trousers, shorts, shirts, underwear, nightwear and similar articles of textile fabrics,</t>
  </si>
  <si>
    <t>845: Articles of apparel, of textile fabrics, whether or not knitted or crocheted, n.e.s.</t>
  </si>
  <si>
    <t>551: Essential oils, perfume and flavour materials</t>
  </si>
  <si>
    <t xml:space="preserve">844: Women's or girls' coats, capes, jackets, suits, trousers, shorts, shirts, dresses and skirts, underwear, nightwear and similar articles of textile fabrics, </t>
  </si>
  <si>
    <t>699: Manufactures of base metal, n.e.s.</t>
  </si>
  <si>
    <t>843: Men's or boys' coats, capes, jackets, suits, blazers, trousers, shorts, shirts, underwear, nightwear and similar articles of textile fabrics,</t>
  </si>
  <si>
    <t xml:space="preserve">842: Women's or girls' coats, capes, jackets, suits, trousers, shorts, shirts, dresses and skirts, underwear, nightwear and similar articles of textile fabrics, </t>
  </si>
  <si>
    <t>621: Materials of rubber (e.g., pastes, plates, sheets, rods, thread, tubes, of rubber)</t>
  </si>
  <si>
    <t>679: Tubes, pipes and hollow profiles, and tube or pipe fittings, of iron or steel</t>
  </si>
  <si>
    <t>287: Ores and concentrates of base metals, n.e.s.</t>
  </si>
  <si>
    <t>821: Furniture and parts thereof; bedding, mattresses, mattress supports, cushions and similar stuffed furnishings</t>
  </si>
  <si>
    <t>813: Lighting fixtures and fittings, n.e.s.</t>
  </si>
  <si>
    <t>657: Special yarns, special textile fabrics and related products</t>
  </si>
  <si>
    <t>812: Sanitary, plumbing and heating fixtures and fittings, n.e.s.</t>
  </si>
  <si>
    <t>091: Margarine and shortening</t>
  </si>
  <si>
    <t>811: Prefabricated buildings</t>
  </si>
  <si>
    <t>961: Coin (other than gold coin), not being legal tender</t>
  </si>
  <si>
    <t>793: Ships, boats (including hovercraft) and floating structures</t>
  </si>
  <si>
    <t>792: Aircraft and associated equipment; spacecraft (including satellites) and spacecraft launch vehicles; parts thereof</t>
  </si>
  <si>
    <t>791: Railway vehicles (including hovertrains) and associated equipment</t>
  </si>
  <si>
    <t>786: Trailers and semi-trailers; other vehicles, not mechanically-propelled; specially designed and equipped transport containers</t>
  </si>
  <si>
    <t>785: Motor cycles (including mopeds) and cycles, motorized and non-motirized; invalid carriages</t>
  </si>
  <si>
    <t>783: Road motor vehicles, n.e.s.</t>
  </si>
  <si>
    <t>782: Motor vehicles for the transport of goods and special-purpose motor vehicles</t>
  </si>
  <si>
    <t>781: Motor vehicles for the transport of persons</t>
  </si>
  <si>
    <t>778: Electrical machinery and apparatus, n.e.s.</t>
  </si>
  <si>
    <t xml:space="preserve">776: Thermionic, cold cathode or photo-cathode valves and tubes (e.g., vacuum or vapour or gas-filled valves and tubes, mercury arc rectifying valves and tubes, </t>
  </si>
  <si>
    <t>775: Household-type electrical and non-electrical equipment, n.e.s.</t>
  </si>
  <si>
    <t>774: Electrodiagnostic apparatus for medical, surgical, dental or veterinary purposes, and radiological apparatus</t>
  </si>
  <si>
    <t>773: Equipment for distributing electricity, n.e.s.</t>
  </si>
  <si>
    <t xml:space="preserve">772: Electrical apparatus for switching or protecting electrical circuits or for making connections to or in electrical circuits </t>
  </si>
  <si>
    <t>771: Electric power machinery (other than rotating electric plant of group 716) and parts thereof</t>
  </si>
  <si>
    <t>763: Sound recording or reproducing apparatus; video recording or reproducing apparatus; whether or not incorporating a video tuner</t>
  </si>
  <si>
    <t>762: Reception apparatus for radio-broadcasting, whether or not combined, in the same housing, with sound recording or reproducing apparatus or a clock</t>
  </si>
  <si>
    <t xml:space="preserve">761: Monitors and projectors, not incorporating television reception apparatus; reception apparatus for television, </t>
  </si>
  <si>
    <t>759: Parts and accessories (other than covers, carrying cases and the like) suitable for use solely or principally with machines falling withing groups 751 and 752</t>
  </si>
  <si>
    <t>752: Automatic data-processing machines and units thereof; magnetic or optical readers, machines for transcribing data onto data media in coded form and machines for processing such data, n.e.s.</t>
  </si>
  <si>
    <t>749: Non-electric parts and accessories of machinery, n.e.s.</t>
  </si>
  <si>
    <t xml:space="preserve">748: Transmission shafts (including camshafts and crankshafts) and cranks; bearing housings and plain shaft bearings; gears and gearing; </t>
  </si>
  <si>
    <t>747: Taps, cocks, valves and similar appliances for pipes, boiler shells, tanks, vats or the like, including pressure-reducing valves and thermostatically controlled valves</t>
  </si>
  <si>
    <t>746: Ball- or roller bearings</t>
  </si>
  <si>
    <t>745: Non-electrical machinery, tools and mechanical apparatus and parts thereof, n.e.s.</t>
  </si>
  <si>
    <t>744: Mechanical handling equipment and parts thereof, n.e.s.</t>
  </si>
  <si>
    <t>742: Pumps for liquids, whether or not fitted with a measuring device; liquid elevators; parts for such pumps and liquid elevators</t>
  </si>
  <si>
    <t>737: Metalworking machinery (other than machine tools) and parts thereof, n.e.s.</t>
  </si>
  <si>
    <t xml:space="preserve">735: Parts, n.e.s., and accessories suitable for use solely or principally with the machines falling within groups 731 and 733 </t>
  </si>
  <si>
    <t>751: Office machines</t>
  </si>
  <si>
    <t>733: Machine tools for working metal, sintered metal carbides or cermets, without removing material</t>
  </si>
  <si>
    <t>728: Other machinery and equipment specialized for particular industries; parts thereof, n.e.s.</t>
  </si>
  <si>
    <t>727: Food-processing machines (excluding domestic); parts thereof</t>
  </si>
  <si>
    <t>726: Printing and bookbinding machinery and parts thereof</t>
  </si>
  <si>
    <t>725: Paper mill and pulp mill machinery, paper-cutting machines and other machinery for the manufacture of paper articles; parts thereof</t>
  </si>
  <si>
    <t>724: Textile and leather machinery and parts thereof, n.e.s.</t>
  </si>
  <si>
    <t>723: Civil engineering and contractors' plant and equipment; parts thereof</t>
  </si>
  <si>
    <t>722: Tractors (other than those of headings 744.14 and 744.15)</t>
  </si>
  <si>
    <t>721: Agricultural machinery (excluding tractors) and parts thereof</t>
  </si>
  <si>
    <t>718: Power-generating machinery and parts thereof, n.e.s.</t>
  </si>
  <si>
    <t>716: Rotating electric plant and parts thereof, n.e.s.</t>
  </si>
  <si>
    <t>714: Engines and motors, non-electric (other than those of groups 712, 713 and 718); parts, n.e.s., of these engines and motors</t>
  </si>
  <si>
    <t>713: Internal combustion piston engines and parts thereof, n.e.s.</t>
  </si>
  <si>
    <t>712: Steam turbines and other vapour turbines and parts thereof, n.e.s.</t>
  </si>
  <si>
    <t>711: Steam or other vapour-generating boilers, superheated water boilers, and auxiliary plant for use therewith; parts thereof</t>
  </si>
  <si>
    <t>697: Household equipment of base metal, n.e.s.</t>
  </si>
  <si>
    <t>696: Cutlery</t>
  </si>
  <si>
    <t>693: Wire products (excluding insulated electrical wiring) and fencing grills</t>
  </si>
  <si>
    <t>694: Nails, screws, nuts, bolts, rivets and the like, of iron, steel, copper or aluminium</t>
  </si>
  <si>
    <t>692: Metal containers for storage or transport</t>
  </si>
  <si>
    <t>691: Structures and parts of structures, n.e.s., of iron, steel or aluminium</t>
  </si>
  <si>
    <t>689: Miscellaneous non-ferrous base metals employed in metallurgy, and cermets</t>
  </si>
  <si>
    <t>686: Zinc</t>
  </si>
  <si>
    <t>685: Lead</t>
  </si>
  <si>
    <t>684: Aluminium</t>
  </si>
  <si>
    <t>683: Nickel</t>
  </si>
  <si>
    <t>677: Rails or railway track construction material, of iron or steel</t>
  </si>
  <si>
    <t>676: Iron and steel bars, rods, angles, shapes and sections (including sheet piling)</t>
  </si>
  <si>
    <t>675: Flat-rolled products of alloy steel</t>
  </si>
  <si>
    <t>672: Ingots and other primary forms, of iron or steel; semi-finished products of iron or steel</t>
  </si>
  <si>
    <t>678: Wire of iron or steel</t>
  </si>
  <si>
    <t>671: Pig-iron, spiegeleisen, sponge iron, iron or steel granules and powders and ferro-alloys</t>
  </si>
  <si>
    <t>666: Pottery</t>
  </si>
  <si>
    <t>663: Mineral manufactures, n.e.s.</t>
  </si>
  <si>
    <t>661: Lime, cement, and fabricated construction materials (except glass and clay materials)</t>
  </si>
  <si>
    <t>674: Flat-rolled products of iron or non-alloy steel, clad, plated or coated</t>
  </si>
  <si>
    <t>659: Floor coverings, etc.</t>
  </si>
  <si>
    <t>655: Knitted or crocheted fabrics (including tubular knit fabrics, n.e.s., pile fabrics and openwork fabrics), n.e.s.</t>
  </si>
  <si>
    <t>654: Other textile fabrics, woven</t>
  </si>
  <si>
    <t>653: Fabrics, woven, of man-made textile materials (not including narrow or special fabrics)</t>
  </si>
  <si>
    <t>667: Pearls and precious or semiprecious stones, unworked or worked</t>
  </si>
  <si>
    <t>652: Cotton fabrics, woven (not including narrow or special fabrics)</t>
  </si>
  <si>
    <t>651: Textile yarn</t>
  </si>
  <si>
    <t>665: Glassware</t>
  </si>
  <si>
    <t>642: Paper and paperboard, cut to size or shape, and articles of paper or paperboard</t>
  </si>
  <si>
    <t>634: Veneers, plywood, particle board, and other wood, worked, n.e.s.</t>
  </si>
  <si>
    <t>633: Cork manufactures</t>
  </si>
  <si>
    <t>662: Clay construction materials and refractory construction materials</t>
  </si>
  <si>
    <t>625: Rubber tyres, interchangeable tyre treads, tyre flaps and inner tubes for wheels of all kinds</t>
  </si>
  <si>
    <t>612: Manufactures of leather or of composition leather, n.e.s.; saddlery and harness</t>
  </si>
  <si>
    <t>611: Leather</t>
  </si>
  <si>
    <t>599: Residual products of the chemical or allied industries, n.e.s.; municipal waste; sewage sludge; other wastes</t>
  </si>
  <si>
    <t>656: Tulles, lace, embroidery, ribbons, trimmings and other smallwares</t>
  </si>
  <si>
    <t>597: Prepared additives for mineral oils and the like; prepared liquids for hydraulic transmission; anti-freezing preparations and prepared de-icing fluids; lubricating preparations</t>
  </si>
  <si>
    <t>593: Explosives and pyrotechnic products</t>
  </si>
  <si>
    <t xml:space="preserve">591: Insecticides, rodenticides, fungicides, herbicides, anti-sprouting products and plant-growth regulators, disinfectants ad similar products, </t>
  </si>
  <si>
    <t>583: Monofilament of which any cross-sectional dimension exceeds 1 mm, rods, sticks and profile shapes, whether or not surface-worked but not otherwise worked, of plastics</t>
  </si>
  <si>
    <t>581: Tubes, pipes and hoses, and fittings therefor, of plastics</t>
  </si>
  <si>
    <t>575: Other plastics, in primary forms</t>
  </si>
  <si>
    <t>574: Polyacetals, other polyethers and epoxide resins, in primary forms; polycarbonates, alkyd resins, polyallyl esters and other polyesters, in primary forms</t>
  </si>
  <si>
    <t>641: Paper and paperboard</t>
  </si>
  <si>
    <t>573: Polymers of vinyl chloride or of other halogenated olefins, in primary forms</t>
  </si>
  <si>
    <t>572: Polymers of styrene, in primary forms</t>
  </si>
  <si>
    <t>571: Polymers of ethylene, in primary forms</t>
  </si>
  <si>
    <t>562: Fertilizers (other than those of group 272)</t>
  </si>
  <si>
    <t>629: Articles of rubber, n.e.s.</t>
  </si>
  <si>
    <t>533: Pigments, paints, varnishes and related materials</t>
  </si>
  <si>
    <t>532: Dyeing and tanning extracts, and synthetic tanning materials</t>
  </si>
  <si>
    <t>531: Synthetic organic colouring matter and colour lakes, and preparations based thereon</t>
  </si>
  <si>
    <t>613: Furskins, tanned or dressed (including heads, tails, paws and other pieces or cuttings), unassembled, or assembled</t>
  </si>
  <si>
    <t>525: Radioactive and associated materials</t>
  </si>
  <si>
    <t>524: Other inorganic chemicals; organic and inorganic compounds of precious metals</t>
  </si>
  <si>
    <t>523: Salts and peroxysalts, of inorganic acids and metals</t>
  </si>
  <si>
    <t>516: Other organic chemicals</t>
  </si>
  <si>
    <t>515: Organo-inorganic compounds, heterocyclic compounds, nucleic acids and their salts, and sulphonamides</t>
  </si>
  <si>
    <t>514: Nitrogen-function compounds</t>
  </si>
  <si>
    <t>513: Carboxylic acids and their anhydrides, halides, peroxides and peroxyacids; their halogenated, sulphonated, nitrated or nitrosated derivatives</t>
  </si>
  <si>
    <t>592: Starches, inulin and wheat gluten; albuminoidal substances; glues</t>
  </si>
  <si>
    <t>512: Alcohols, phenols, phenol-alcohols, and their halogenated, sulphonated, nitrated or nitrosated derivatives</t>
  </si>
  <si>
    <t>511: Hydrocarbons, n.e.s., and their halogenated, sulphonated, nitrated or nitrosated derivatives</t>
  </si>
  <si>
    <t>431: Animal or vegetable fats and oils, processed; waxes; inedible mixtures or preparations of animal or vegetable fats or oils, n.e.s.</t>
  </si>
  <si>
    <t>582: Plates, sheets, film, foil and strip, of plastics</t>
  </si>
  <si>
    <t>422: Fixed vegetable fats and oils, crude, refined or fractionated, other than “soft”</t>
  </si>
  <si>
    <t>421: Fixed vegetable fats and oils, 'soft', crude, refined or fractionated</t>
  </si>
  <si>
    <t>411: Animal oils and fats</t>
  </si>
  <si>
    <t>345: Coal gas, water gas, producer gas and similar gases, other than petroleum gases and other gaseous hydrocarbons</t>
  </si>
  <si>
    <t>344: Petroleum gases and other gaseous hydrocarbons, n.e.s.</t>
  </si>
  <si>
    <t>343: Natural gas, whether or not liquefied</t>
  </si>
  <si>
    <t>342: Liquefied propane and butane</t>
  </si>
  <si>
    <t>335: Residual petroleum products, n.e.s., and related materials</t>
  </si>
  <si>
    <t xml:space="preserve">334: Petroleum oils and oils obtained from bituminous minerals (other than crude); preparations, n.e.s., </t>
  </si>
  <si>
    <t>553: Perfumery, cosmetic or toilet preparations (excluding soaps)</t>
  </si>
  <si>
    <t>333: Petroleum oils and oils obtained from bituminous minerals, crude</t>
  </si>
  <si>
    <t>322: Briquettes, lignite and peat</t>
  </si>
  <si>
    <t>542: Medicaments (including veterinary medicaments)</t>
  </si>
  <si>
    <t>321: Coal, whether or not pulverized, but not agglomerated</t>
  </si>
  <si>
    <t>292: Crude vegetable materials, n.e.s.</t>
  </si>
  <si>
    <t>291: Crude animal materials, n.e.s.</t>
  </si>
  <si>
    <t>289: Ores and concentrates of precious metals; waste, scrap and sweepings of precious metals (other than of gold)</t>
  </si>
  <si>
    <t>288: Non-ferrous base metal waste and scrap, n.e.s.</t>
  </si>
  <si>
    <t>285: Aluminium ores and concentrates (including alumina)</t>
  </si>
  <si>
    <t>284: Nickel ores and concentrates; nickel mattes, nickel oxide sinters and other intermediate products of nickel metallurgy</t>
  </si>
  <si>
    <t>283: Copper ores and concentrates; copper mattes; cement copper</t>
  </si>
  <si>
    <t>522: Inorganic chemical elements, oxides and halogen salts</t>
  </si>
  <si>
    <t>282: Ferrous waste and scrap; remelting scrap ingots of iron or steel</t>
  </si>
  <si>
    <t>281: Iron ore and concentrates</t>
  </si>
  <si>
    <t>278: Other crude minerals</t>
  </si>
  <si>
    <t>277: Natural abrasives, n.e.s. (including industrial diamonds)</t>
  </si>
  <si>
    <t>273: Stone, sand and gravel</t>
  </si>
  <si>
    <t>272: Fertilizers, crude, other than those of division 56</t>
  </si>
  <si>
    <t>269: Worn clothing and other worn textile articles; rags</t>
  </si>
  <si>
    <t>268: Wool and other animal hair (including wool tops)</t>
  </si>
  <si>
    <t>267: Other man-made fibres suitable for spinning; waste of man-made fibres</t>
  </si>
  <si>
    <t>266: Synthetic fibres suitable for spinning</t>
  </si>
  <si>
    <t>265: Vegetable textile fibres (other than cotton and jute), raw or processed but not spun; waste of these fibres</t>
  </si>
  <si>
    <t>263: Cotton</t>
  </si>
  <si>
    <t>251: Pulp and waste paper</t>
  </si>
  <si>
    <t>248: Wood, simply worked, and railway sleepers of wood</t>
  </si>
  <si>
    <t>246: Wood in chips or particles and wood waste</t>
  </si>
  <si>
    <t>245: Fuel wood (excluding wood waste) and wood charcoal</t>
  </si>
  <si>
    <t>244: Cork, natural, raw and waste (including natural cork in blocks or sheets)</t>
  </si>
  <si>
    <t>232: Synthetic rubber; reclaimed rubber; waste, parings and scrap of unhardened rubber</t>
  </si>
  <si>
    <t>231: Natural rubber, balata, gutta-percha, guayule, chicle and similar natural gums, in primary forms (including latex) or in plates, sheets or strip</t>
  </si>
  <si>
    <t>223: Oil-seeds and oleaginous fruits, whole or broken, of a kind used for the extraction of other fixed vegetable oils (including flours and meals of oil-seeds or oleaginous fruit, n.e.s.)</t>
  </si>
  <si>
    <t>222: Oil-seeds and oleaginous fruits of a kind used for the extraction of “soft” fixed vegetable oils (excluding flours and meals)</t>
  </si>
  <si>
    <t>211: Hides and skins (except furskins), raw</t>
  </si>
  <si>
    <t>122: Tobacco, manufactured (whether or not containing tobacco substitutes)</t>
  </si>
  <si>
    <t>286: Uranium or thorium ores and concentrates</t>
  </si>
  <si>
    <t>121: Tobacco, unmanufactured; tobacco refuse</t>
  </si>
  <si>
    <t>112: Alcoholic beverages</t>
  </si>
  <si>
    <t>098: Edible products and preparations, n.e.s.</t>
  </si>
  <si>
    <t>081: Feeding stuff for animals (not including unmilled cereals)</t>
  </si>
  <si>
    <t>074: Tea and maté</t>
  </si>
  <si>
    <t>073: Chocolate and other food preparations containing cocoa, n.e.s.</t>
  </si>
  <si>
    <t>072: Cocoa</t>
  </si>
  <si>
    <t>071: Coffee and coffee substitutes</t>
  </si>
  <si>
    <t>062: Sugar confectionery</t>
  </si>
  <si>
    <t>061: Sugars, molasses and honey</t>
  </si>
  <si>
    <t xml:space="preserve">059: Fruit juices (including grape must) and vegetable juices, unfermented and not containing added spirit, </t>
  </si>
  <si>
    <t>058: Fruit, preserved, and fruit preparations (excluding fruit juices)</t>
  </si>
  <si>
    <t xml:space="preserve">054: Vegetables, fresh, chilled, frozen or simply preserved (including dried leguminous vegetables); </t>
  </si>
  <si>
    <t>048: Cereal preparations and preparations of flour or starch of fruits or vegetables</t>
  </si>
  <si>
    <t>047: Other cereal meals and flours</t>
  </si>
  <si>
    <t>046: Meal and flour of wheat and flour of meslin</t>
  </si>
  <si>
    <t>045: Cereals, unmilled (other than wheat, rice, barley and maize)</t>
  </si>
  <si>
    <t>044: Maize (not including sweet corn), unmilled</t>
  </si>
  <si>
    <t>042: Rice</t>
  </si>
  <si>
    <t>041: Wheat (including spelt) and meslin, unmilled</t>
  </si>
  <si>
    <t>037: Fish, crustaceans, molluscs and other aquatic invertebrates, prepared or preserved, n.e.s.</t>
  </si>
  <si>
    <t xml:space="preserve">036: Crustaceans, molluscs and aquatic invertebrates, whether in shell or not, fresh (live or dead), </t>
  </si>
  <si>
    <t>035: Fish, dried, salted or in brine; smoked fish (whether or not cooked before or during the smoking process); flours, meals and pellets of fish, fit for human consumption</t>
  </si>
  <si>
    <t>034: Fish, fresh (live or dead), chilled or frozen</t>
  </si>
  <si>
    <t>025: Eggs, birds', and egg yolks, fresh, dried or otherwise preserved, sweetened or not; egg albumin</t>
  </si>
  <si>
    <t>024: Cheese and curd</t>
  </si>
  <si>
    <t>023: Butter and other fats and oils derived from milk</t>
  </si>
  <si>
    <t>022: Milk and cream and milk products other than butter or cheese</t>
  </si>
  <si>
    <t>017: Meat and edible meat offal, prepared or preserved, n.e.s.</t>
  </si>
  <si>
    <t>016: Meat and edible meat offal, salted, in brine, dried or smoked; edible flours and meals of meat or meat offal</t>
  </si>
  <si>
    <t>012: Other meat and edible meat offal, fresh, chilled or frozen (except meat and meat offal unfit or unsuitable for human consumption)</t>
  </si>
  <si>
    <t>011: Meat of bovine animals, fresh, chilled or frozen</t>
  </si>
  <si>
    <t>001: Live animals other than animals of division 03</t>
  </si>
  <si>
    <t>075: Spices</t>
  </si>
  <si>
    <t>057: Fruit and nuts (not including oil nuts), fresh or dried</t>
  </si>
  <si>
    <t>056: Vegetables, roots and tubers, prepared or preserved, n.e.s.</t>
  </si>
  <si>
    <t>Difference 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</si>
  <si>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</si>
  <si>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</si>
  <si>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</si>
  <si>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</si>
  <si>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</si>
  <si>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</si>
  <si>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Table 2: Cumulative Trade Value(N$ m) - 2024</t>
  </si>
  <si>
    <t>Cumulative Imports</t>
  </si>
  <si>
    <t>Table 3: Cumulative Trade Value (N$ m) - 2025</t>
  </si>
  <si>
    <t>Q: Human health and social work activities</t>
  </si>
  <si>
    <t>M: Professional, scientific and technical activities</t>
  </si>
  <si>
    <t>H: Transportation and storage</t>
  </si>
  <si>
    <t>J: Information and communication</t>
  </si>
  <si>
    <t>R: Arts, entertainment and recreation</t>
  </si>
  <si>
    <t>E: Water supply; sewerage, waste management and remediation activities</t>
  </si>
  <si>
    <t>A: Agriculture, forestry and fishing</t>
  </si>
  <si>
    <t>C: Manufacturing</t>
  </si>
  <si>
    <t>B: Mining and quarrying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</si>
  <si>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</si>
  <si>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</si>
  <si>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</si>
  <si>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</si>
  <si>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</si>
  <si>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</si>
  <si>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D: Electricity, gas, steam and air conditioning supply</t>
  </si>
  <si>
    <t>Table 6: Imports by International Standard Industrial Classification -ISIC by Value (N$ m) &amp; percentage share</t>
  </si>
  <si>
    <t>C18: Printing and reproduction of recorded media</t>
  </si>
  <si>
    <t>C12: Manufacture of tobacco products</t>
  </si>
  <si>
    <t>C14: Manufacture of wearing apparel</t>
  </si>
  <si>
    <t>C30: Manufacture of other transport equipment</t>
  </si>
  <si>
    <t>C21: Manufacture of basic pharmaceutical products and pharmaceutical preparations</t>
  </si>
  <si>
    <t>C31: Manufacture of furniture</t>
  </si>
  <si>
    <t>C17: Manufacture of paper and paper products</t>
  </si>
  <si>
    <t>C19: Manufacture of coke and refined petroleum products</t>
  </si>
  <si>
    <t>C13: Manufacture of textiles</t>
  </si>
  <si>
    <t>C15: Manufacture of leather and related products</t>
  </si>
  <si>
    <t>C16: Manufacture of wood and of products of wood and cork, except furniture; manufacture of articles of straw and plaiting materials</t>
  </si>
  <si>
    <t>C29: Manufacture of motor vehicles, trailers and semi-trailers</t>
  </si>
  <si>
    <t>C25: Manufacture of fabricated metal products, except machinery and equipment</t>
  </si>
  <si>
    <t>A03: Fishing and aquaculture</t>
  </si>
  <si>
    <t>C27: Manufacture of electrical equipment</t>
  </si>
  <si>
    <t>A02: Forestry and logging</t>
  </si>
  <si>
    <t>C23: Manufacture of other non-metallic mineral products</t>
  </si>
  <si>
    <t>A01: Crop and animal production, hunting and related service activities</t>
  </si>
  <si>
    <t>C26: Manufacture of computer, electronic and optical products</t>
  </si>
  <si>
    <t>Agriculture</t>
  </si>
  <si>
    <t>C22: Manufacture of rubber and plastics products</t>
  </si>
  <si>
    <t>B08: Other mining and quarrying</t>
  </si>
  <si>
    <t>C11: Manufacture of beverages</t>
  </si>
  <si>
    <t>B09: Mining support service activities</t>
  </si>
  <si>
    <t>C28: Manufacture of machinery and equipment n.e.c.</t>
  </si>
  <si>
    <t>B07: Mining of metal ores</t>
  </si>
  <si>
    <t>C32: Other manufacturing</t>
  </si>
  <si>
    <t>Mining and quarrying</t>
  </si>
  <si>
    <t>C20: Manufacture of chemicals and chemical products</t>
  </si>
  <si>
    <t>C24: Manufacture of basic metals</t>
  </si>
  <si>
    <t>C10: Manufacture of food products</t>
  </si>
  <si>
    <t>Manufacturing</t>
  </si>
  <si>
    <t>B06: Extraction of crude petroleum and natural gas</t>
  </si>
  <si>
    <t>B05: Mining of coal and lignite</t>
  </si>
  <si>
    <t>Mining_and_quarrying</t>
  </si>
  <si>
    <t>Trade bal</t>
  </si>
  <si>
    <t>Imports (-)</t>
  </si>
  <si>
    <t>Oman</t>
  </si>
  <si>
    <t>Bahrain</t>
  </si>
  <si>
    <t>Various Countries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</si>
  <si>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</si>
  <si>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</si>
  <si>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</si>
  <si>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</si>
  <si>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</si>
  <si>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</si>
  <si>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</si>
  <si>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</si>
  <si>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</si>
  <si>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</si>
  <si>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</si>
  <si>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</si>
  <si>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</si>
  <si>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</si>
  <si>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</si>
  <si>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</si>
  <si>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</si>
  <si>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</si>
  <si>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</si>
  <si>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</si>
  <si>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</si>
  <si>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</si>
  <si>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</si>
  <si>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</si>
  <si>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</si>
  <si>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</si>
  <si>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</si>
  <si>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</si>
  <si>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</si>
  <si>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</si>
  <si>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</si>
  <si>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</si>
  <si>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</si>
  <si>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</si>
  <si>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</si>
  <si>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</si>
  <si>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</si>
  <si>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</si>
  <si>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</si>
  <si>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</si>
  <si>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</si>
  <si>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</si>
  <si>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</si>
  <si>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</si>
  <si>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</si>
  <si>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</si>
  <si>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</si>
  <si>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</si>
  <si>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</si>
  <si>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</si>
  <si>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</si>
  <si>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</si>
  <si>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</si>
  <si>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</si>
  <si>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</si>
  <si>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</si>
  <si>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</si>
  <si>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</si>
  <si>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</si>
  <si>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</si>
  <si>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</si>
  <si>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</si>
  <si>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</si>
  <si>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</si>
  <si>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</si>
  <si>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</si>
  <si>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</si>
  <si>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</si>
  <si>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Christmas Island</t>
  </si>
  <si>
    <t>Virgin Islands Of The United States</t>
  </si>
  <si>
    <t>Paraguay</t>
  </si>
  <si>
    <t>Bolivia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</si>
  <si>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</si>
  <si>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</si>
  <si>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</si>
  <si>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</si>
  <si>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</si>
  <si>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</si>
  <si>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Turks &amp; Caicos Islands</t>
  </si>
  <si>
    <t>New Caledonia</t>
  </si>
  <si>
    <t>Mongolia</t>
  </si>
  <si>
    <t>Barbados</t>
  </si>
  <si>
    <t>Antigua And Barbuda</t>
  </si>
  <si>
    <t>Azerbaijan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</si>
  <si>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</si>
  <si>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</si>
  <si>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</si>
  <si>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</si>
  <si>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</si>
  <si>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</si>
  <si>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</si>
  <si>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</si>
  <si>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</si>
  <si>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</si>
  <si>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</si>
  <si>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</si>
  <si>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</si>
  <si>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681: Silver, platinum and other metals of the platinum group</t>
  </si>
  <si>
    <t>264: Jute and other textile bast fibres, n.e.s., raw or processed but not spun; tow and waste of these fibres (including yarn waste and garnetted stock)</t>
  </si>
  <si>
    <t>043: Barley, unmilled</t>
  </si>
  <si>
    <t>SITC \ FLOW</t>
  </si>
  <si>
    <t>Vanuatu</t>
  </si>
  <si>
    <t>Trinadad &amp; Tobago</t>
  </si>
  <si>
    <t>Guinea</t>
  </si>
  <si>
    <t>Cuba</t>
  </si>
  <si>
    <t>Bermuda</t>
  </si>
  <si>
    <t>Belize</t>
  </si>
  <si>
    <t>Value (N$ m)</t>
  </si>
  <si>
    <t>%∆y/y</t>
  </si>
  <si>
    <t>Partner</t>
  </si>
  <si>
    <t>Table 12: Exports by partner</t>
  </si>
  <si>
    <t>Uzbekistan</t>
  </si>
  <si>
    <t>Rwanda</t>
  </si>
  <si>
    <t>Papua New Guinea</t>
  </si>
  <si>
    <t>Palau</t>
  </si>
  <si>
    <t>Nauru</t>
  </si>
  <si>
    <t>Mauritania</t>
  </si>
  <si>
    <t>Lao Peoples Democratic Republic</t>
  </si>
  <si>
    <t>Kazakhstan</t>
  </si>
  <si>
    <t>Haiti</t>
  </si>
  <si>
    <t>Guadeloupe</t>
  </si>
  <si>
    <t>Gambia</t>
  </si>
  <si>
    <t>Burkinafaso</t>
  </si>
  <si>
    <t>Bhutan</t>
  </si>
  <si>
    <t>Aruba</t>
  </si>
  <si>
    <t>Antarctica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</si>
  <si>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</si>
  <si>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</si>
  <si>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</si>
  <si>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</si>
  <si>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</si>
  <si>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</si>
  <si>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</si>
  <si>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</si>
  <si>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</si>
  <si>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</si>
  <si>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</si>
  <si>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</si>
  <si>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</si>
  <si>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</si>
  <si>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682: Copper and articles of copper</t>
  </si>
  <si>
    <t>Table 30: Imports by NetWeight</t>
  </si>
  <si>
    <t>As reported in October_2025  Bulletin (N$ m)</t>
  </si>
  <si>
    <t>682:Copper</t>
  </si>
  <si>
    <t>Inland waterways transport</t>
  </si>
  <si>
    <t>Oshakati</t>
  </si>
  <si>
    <t>Sept</t>
  </si>
  <si>
    <t>Sao Tome And Principe</t>
  </si>
  <si>
    <t>Belarus</t>
  </si>
  <si>
    <t>Armenia</t>
  </si>
  <si>
    <t>Nepal</t>
  </si>
  <si>
    <t>687: Tin</t>
  </si>
  <si>
    <t>212: Furskins, raw (including heads, tails, paws and other pieces or  cuttings, suitable for furriers’ use), other than hides and skins of group 211</t>
  </si>
  <si>
    <t>Solomon Islands</t>
  </si>
  <si>
    <t>Table 1: October 2025 Revisions by Value (N$ m)</t>
  </si>
  <si>
    <t>As reported in November_2025  Bulletin (N$ m)</t>
  </si>
  <si>
    <t xml:space="preserve">Manufacturing </t>
  </si>
  <si>
    <t>Agriculture, forestry and fishing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</si>
  <si>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Nov 2024 to Nov 2025</t>
    </r>
  </si>
  <si>
    <t>Table 10: Trade balance by Partner (N$ m), Nov 2025</t>
  </si>
  <si>
    <t>Guyana</t>
  </si>
  <si>
    <t>Niue</t>
  </si>
  <si>
    <t>Chad</t>
  </si>
  <si>
    <t>United States Minor O/Lying Islands</t>
  </si>
  <si>
    <t>Wallis And Futuna</t>
  </si>
  <si>
    <t>Central African Republic</t>
  </si>
  <si>
    <t>Svalbard &amp; Jan Mayen</t>
  </si>
  <si>
    <t>Fiji</t>
  </si>
  <si>
    <t>Table 11: Trade balance by Product (N$ m), Nov 2025</t>
  </si>
  <si>
    <t>334: Petroleum oils and oils obtained from bituminous minerals (other than crude); preparations, n.e.s.,</t>
  </si>
  <si>
    <t>772: Electrical apparatus for switching or protecting electrical circuits or for making connections to or in electrical circuits</t>
  </si>
  <si>
    <t>748: Transmission shafts (including camshafts and crankshafts) and cranks; bearing housings and plain shaft bearings; gears and gearing;</t>
  </si>
  <si>
    <t>842: Women's or girls' coats, capes, jackets, suits, trousers, shorts, shirts, dresses and skirts, underwear, nightwear and similar articles of textile fabrics,</t>
  </si>
  <si>
    <t>776: Thermionic, cold cathode or photo-cathode valves and tubes (e.g., vacuum or vapour or gas-filled valves and tubes, mercury arc rectifying valves and tubes,</t>
  </si>
  <si>
    <t>059: Fruit juices (including grape must) and vegetable juices, unfermented and not containing added spirit,</t>
  </si>
  <si>
    <t>831: Trunks, suitcases, vanity cases, executive cases, briefcases, school satches, spectacle cases, binocular cases, camera cases,</t>
  </si>
  <si>
    <t>844: Women's or girls' coats, capes, jackets, suits, trousers, shorts, shirts, dresses and skirts, underwear, nightwear and similar articles of textile fabrics,</t>
  </si>
  <si>
    <t>761: Monitors and projectors, not incorporating television reception apparatus; reception apparatus for television,</t>
  </si>
  <si>
    <t>054: Vegetables, fresh, chilled, frozen or simply preserved (including dried leguminous vegetables);</t>
  </si>
  <si>
    <t>591: Insecticides, rodenticides, fungicides, herbicides, anti-sprouting products and plant-growth regulators, disinfectants ad similar products,</t>
  </si>
  <si>
    <t>735: Parts, n.e.s., and accessories suitable for use solely or principally with the machines falling within groups 731 and 733</t>
  </si>
  <si>
    <t>883: Cinematographic film, exposed and developed, whether or not incorporating soundtrack or consisting only of soundtrack</t>
  </si>
  <si>
    <t>036: Crustaceans, molluscs and aquatic invertebrates, whether in shell or not, fresh (live or dead),</t>
  </si>
  <si>
    <t>682:Copper and articles of copper</t>
  </si>
  <si>
    <t>883:Cinematographic film, exposed and developed, whether or not incorporating soundtrack or consisting only of soundtrack</t>
  </si>
  <si>
    <t>Multimodal</t>
  </si>
  <si>
    <t>44:Maize (not including sweet corn), unmilled</t>
  </si>
  <si>
    <t>56:Vegetables, roots and tubers, prepared or preserved, n.e.s.</t>
  </si>
  <si>
    <t>81:Feeding stuff for animals (not including unmilled cereals)</t>
  </si>
  <si>
    <t>71:Coffee and coffee substitutes</t>
  </si>
  <si>
    <t>73:Chocolate and other food preparations containing cocoa, n.e.s.</t>
  </si>
  <si>
    <t>75:Spices</t>
  </si>
  <si>
    <t>23:Butter and other fats and oils derived from milk</t>
  </si>
  <si>
    <t>74:Tea and maté</t>
  </si>
  <si>
    <t>42:Rice</t>
  </si>
  <si>
    <t>91:Margarine and shortening</t>
  </si>
  <si>
    <t>62:Sugar confectionery</t>
  </si>
  <si>
    <t>58:Fruit, preserved, and fruit preparations (excluding fruit juices)</t>
  </si>
  <si>
    <t>48:Cereal preparations and preparations of flour or starch of fruits or vegetables</t>
  </si>
  <si>
    <t>Gobabis</t>
  </si>
  <si>
    <t>Tsumeb</t>
  </si>
  <si>
    <t>22:Milk and cream and milk products other than butter or cheese</t>
  </si>
  <si>
    <t xml:space="preserve">54:Vegetables, fresh, chilled, frozen or simply preserved (including dried leguminous vegetables); </t>
  </si>
  <si>
    <t>98:Edible products and preparations, n.e.s.</t>
  </si>
  <si>
    <t xml:space="preserve">59:Fruit juices (including grape must) and vegetable juices, unfermented and not containing added spirit, </t>
  </si>
  <si>
    <t>57:Fruit and nuts (not including oil nuts), fresh or dried</t>
  </si>
  <si>
    <t>Trade through Mohembo</t>
  </si>
  <si>
    <t>Time series-Mohembo</t>
  </si>
  <si>
    <t>Table 31: Trade by border post/office (N$ m) for the month of November 2025</t>
  </si>
  <si>
    <t>Namibia Intra-Africa trade by products, November 2025, (N$ m)</t>
  </si>
  <si>
    <t>Namibia Intra-Africa trade by partners, November 2025, (N$ m)</t>
  </si>
  <si>
    <t>Nov 2025 %</t>
  </si>
  <si>
    <t>Imports of Food items (November 2024 - November 2025)</t>
  </si>
  <si>
    <t>Exports of Food items (November 2024 - November 2025)</t>
  </si>
  <si>
    <t>Table 33: Food items (N$ m), November 2024 to November  2025</t>
  </si>
  <si>
    <t>Table 34: Beverages (N$ m), November  2024 to November  2025</t>
  </si>
  <si>
    <t>Country of Destination and Origin for Rice, November 2025</t>
  </si>
  <si>
    <t>Trade in  Rice (Nov  2024 - Nov  2025)</t>
  </si>
  <si>
    <t>Table 35: Commodity of the month - Rice</t>
  </si>
  <si>
    <t>Table 20: Top 10 traded commodities, November 2025</t>
  </si>
  <si>
    <t>Table 8: Imports by top 3 Industries by top 5 commodities (N$), Nov 2025</t>
  </si>
  <si>
    <t>Table 7: Exports by top 3 Industries by top 5 commodities (N$), Nov 2025</t>
  </si>
  <si>
    <t>Table 1: October 2025 Revisions</t>
  </si>
  <si>
    <t>Other Windhoek Offices</t>
  </si>
  <si>
    <t xml:space="preserve">Sarasungu </t>
  </si>
  <si>
    <t xml:space="preserve">Kashamane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</si>
</sst>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  <numFmt numFmtId="174" formatCode="_-* #,##0.0000_-;\-* #,##0.000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8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04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8" fillId="0" borderId="12" xfId="0" applyFont="1" applyBorder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0" fontId="8" fillId="0" borderId="4" xfId="0" applyFont="1" applyBorder="1"/>
    <xf numFmtId="0" fontId="3" fillId="3" borderId="0" xfId="282" applyFill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8" fillId="4" borderId="9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7" fillId="0" borderId="12" xfId="0" applyNumberFormat="1" applyFont="1" applyBorder="1"/>
    <xf numFmtId="165" fontId="7" fillId="0" borderId="11" xfId="1" applyNumberFormat="1" applyFont="1" applyBorder="1"/>
    <xf numFmtId="165" fontId="5" fillId="0" borderId="4" xfId="1" applyNumberFormat="1" applyFont="1" applyBorder="1"/>
    <xf numFmtId="165" fontId="5" fillId="0" borderId="12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9" fillId="0" borderId="0" xfId="1" applyNumberFormat="1" applyFont="1"/>
    <xf numFmtId="165" fontId="6" fillId="0" borderId="0" xfId="1" applyNumberFormat="1" applyFont="1"/>
    <xf numFmtId="166" fontId="5" fillId="0" borderId="0" xfId="284" applyNumberFormat="1" applyFont="1"/>
    <xf numFmtId="165" fontId="20" fillId="0" borderId="0" xfId="1" applyNumberFormat="1" applyFont="1"/>
    <xf numFmtId="168" fontId="6" fillId="0" borderId="2" xfId="1" applyNumberFormat="1" applyFont="1" applyFill="1" applyBorder="1"/>
    <xf numFmtId="168" fontId="5" fillId="0" borderId="3" xfId="1" applyNumberFormat="1" applyFont="1" applyFill="1" applyBorder="1"/>
    <xf numFmtId="168" fontId="5" fillId="6" borderId="17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0" fontId="8" fillId="4" borderId="9" xfId="0" applyFont="1" applyFill="1" applyBorder="1"/>
    <xf numFmtId="0" fontId="8" fillId="4" borderId="5" xfId="0" applyFont="1" applyFill="1" applyBorder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164" fontId="5" fillId="0" borderId="0" xfId="284" applyFont="1"/>
    <xf numFmtId="168" fontId="6" fillId="0" borderId="1" xfId="1" applyNumberFormat="1" applyFont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8" fontId="5" fillId="0" borderId="16" xfId="1" applyNumberFormat="1" applyFont="1" applyBorder="1"/>
    <xf numFmtId="168" fontId="5" fillId="5" borderId="16" xfId="1" applyNumberFormat="1" applyFont="1" applyFill="1" applyBorder="1"/>
    <xf numFmtId="168" fontId="5" fillId="6" borderId="15" xfId="1" applyNumberFormat="1" applyFont="1" applyFill="1" applyBorder="1"/>
    <xf numFmtId="165" fontId="8" fillId="0" borderId="0" xfId="1" applyNumberFormat="1" applyFont="1"/>
    <xf numFmtId="0" fontId="7" fillId="2" borderId="0" xfId="0" applyFont="1" applyFill="1"/>
    <xf numFmtId="17" fontId="8" fillId="4" borderId="1" xfId="0" applyNumberFormat="1" applyFont="1" applyFill="1" applyBorder="1"/>
    <xf numFmtId="169" fontId="8" fillId="4" borderId="1" xfId="0" applyNumberFormat="1" applyFont="1" applyFill="1" applyBorder="1"/>
    <xf numFmtId="0" fontId="8" fillId="2" borderId="7" xfId="0" applyFont="1" applyFill="1" applyBorder="1"/>
    <xf numFmtId="0" fontId="8" fillId="2" borderId="0" xfId="0" applyFont="1" applyFill="1"/>
    <xf numFmtId="4" fontId="5" fillId="0" borderId="0" xfId="0" applyNumberFormat="1" applyFont="1"/>
    <xf numFmtId="165" fontId="6" fillId="0" borderId="4" xfId="0" applyNumberFormat="1" applyFont="1" applyBorder="1"/>
    <xf numFmtId="166" fontId="6" fillId="0" borderId="4" xfId="0" applyNumberFormat="1" applyFont="1" applyBorder="1"/>
    <xf numFmtId="165" fontId="5" fillId="0" borderId="12" xfId="0" applyNumberFormat="1" applyFont="1" applyBorder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169" fontId="8" fillId="4" borderId="2" xfId="0" applyNumberFormat="1" applyFont="1" applyFill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4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5" fontId="7" fillId="0" borderId="3" xfId="1" applyNumberFormat="1" applyFont="1" applyBorder="1" applyAlignment="1">
      <alignment vertical="top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168" fontId="7" fillId="0" borderId="0" xfId="0" applyNumberFormat="1" applyFont="1"/>
    <xf numFmtId="165" fontId="7" fillId="6" borderId="4" xfId="1" applyNumberFormat="1" applyFont="1" applyFill="1" applyBorder="1" applyAlignment="1">
      <alignment vertical="top"/>
    </xf>
    <xf numFmtId="165" fontId="7" fillId="0" borderId="2" xfId="1" applyNumberFormat="1" applyFont="1" applyBorder="1" applyAlignment="1">
      <alignment vertical="top"/>
    </xf>
    <xf numFmtId="0" fontId="8" fillId="4" borderId="2" xfId="0" applyFont="1" applyFill="1" applyBorder="1" applyAlignment="1">
      <alignment horizontal="right"/>
    </xf>
    <xf numFmtId="0" fontId="5" fillId="0" borderId="0" xfId="0" applyFont="1" applyAlignment="1">
      <alignment horizontal="left"/>
    </xf>
    <xf numFmtId="168" fontId="5" fillId="6" borderId="4" xfId="1" applyNumberFormat="1" applyFont="1" applyFill="1" applyBorder="1"/>
    <xf numFmtId="165" fontId="6" fillId="0" borderId="0" xfId="0" applyNumberFormat="1" applyFont="1"/>
    <xf numFmtId="167" fontId="5" fillId="0" borderId="0" xfId="280" applyNumberFormat="1" applyFont="1" applyFill="1" applyBorder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5" fillId="0" borderId="13" xfId="0" applyFont="1" applyBorder="1"/>
    <xf numFmtId="0" fontId="7" fillId="6" borderId="12" xfId="0" applyFont="1" applyFill="1" applyBorder="1"/>
    <xf numFmtId="165" fontId="7" fillId="6" borderId="4" xfId="0" applyNumberFormat="1" applyFont="1" applyFill="1" applyBorder="1"/>
    <xf numFmtId="165" fontId="5" fillId="6" borderId="15" xfId="1" applyNumberFormat="1" applyFont="1" applyFill="1" applyBorder="1"/>
    <xf numFmtId="165" fontId="5" fillId="0" borderId="16" xfId="1" applyNumberFormat="1" applyFont="1" applyBorder="1"/>
    <xf numFmtId="165" fontId="5" fillId="5" borderId="16" xfId="1" applyNumberFormat="1" applyFont="1" applyFill="1" applyBorder="1"/>
    <xf numFmtId="168" fontId="6" fillId="0" borderId="1" xfId="1" applyNumberFormat="1" applyFont="1" applyFill="1" applyBorder="1"/>
    <xf numFmtId="168" fontId="6" fillId="0" borderId="3" xfId="1" applyNumberFormat="1" applyFont="1" applyFill="1" applyBorder="1"/>
    <xf numFmtId="165" fontId="6" fillId="0" borderId="1" xfId="1" applyNumberFormat="1" applyFont="1" applyFill="1" applyBorder="1"/>
    <xf numFmtId="165" fontId="6" fillId="0" borderId="9" xfId="1" applyNumberFormat="1" applyFont="1" applyFill="1" applyBorder="1"/>
    <xf numFmtId="165" fontId="16" fillId="0" borderId="4" xfId="1" applyNumberFormat="1" applyFont="1" applyBorder="1"/>
    <xf numFmtId="165" fontId="5" fillId="6" borderId="4" xfId="1" applyNumberFormat="1" applyFont="1" applyFill="1" applyBorder="1"/>
    <xf numFmtId="171" fontId="8" fillId="0" borderId="4" xfId="0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0" fontId="7" fillId="0" borderId="12" xfId="0" applyFont="1" applyBorder="1" applyAlignment="1">
      <alignment wrapText="1"/>
    </xf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6" fontId="6" fillId="0" borderId="3" xfId="284" applyNumberFormat="1" applyFont="1" applyBorder="1"/>
    <xf numFmtId="43" fontId="8" fillId="0" borderId="0" xfId="1" applyFont="1"/>
    <xf numFmtId="165" fontId="8" fillId="0" borderId="0" xfId="0" applyNumberFormat="1" applyFont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0" fontId="7" fillId="0" borderId="11" xfId="0" applyFont="1" applyBorder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16" fillId="6" borderId="3" xfId="1" applyNumberFormat="1" applyFont="1" applyFill="1" applyBorder="1"/>
    <xf numFmtId="165" fontId="16" fillId="6" borderId="4" xfId="1" applyNumberFormat="1" applyFont="1" applyFill="1" applyBorder="1"/>
    <xf numFmtId="165" fontId="16" fillId="6" borderId="21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2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0" fontId="8" fillId="0" borderId="3" xfId="0" applyFont="1" applyBorder="1"/>
    <xf numFmtId="165" fontId="8" fillId="0" borderId="4" xfId="2795" applyNumberFormat="1" applyFont="1" applyFill="1" applyBorder="1" applyAlignment="1"/>
    <xf numFmtId="165" fontId="8" fillId="0" borderId="4" xfId="0" applyNumberFormat="1" applyFont="1" applyBorder="1"/>
    <xf numFmtId="165" fontId="8" fillId="5" borderId="3" xfId="2" applyNumberFormat="1" applyFont="1" applyFill="1" applyBorder="1"/>
    <xf numFmtId="165" fontId="6" fillId="6" borderId="3" xfId="2795" applyNumberFormat="1" applyFont="1" applyFill="1" applyBorder="1" applyAlignment="1"/>
    <xf numFmtId="165" fontId="8" fillId="6" borderId="3" xfId="2795" applyNumberFormat="1" applyFont="1" applyFill="1" applyBorder="1" applyAlignment="1">
      <alignment vertical="top"/>
    </xf>
    <xf numFmtId="168" fontId="7" fillId="0" borderId="11" xfId="1" applyNumberFormat="1" applyFont="1" applyFill="1" applyBorder="1"/>
    <xf numFmtId="165" fontId="8" fillId="0" borderId="3" xfId="1" applyNumberFormat="1" applyFont="1" applyFill="1" applyBorder="1"/>
    <xf numFmtId="165" fontId="8" fillId="6" borderId="3" xfId="1" applyNumberFormat="1" applyFont="1" applyFill="1" applyBorder="1" applyAlignment="1"/>
    <xf numFmtId="168" fontId="7" fillId="0" borderId="4" xfId="1" applyNumberFormat="1" applyFont="1" applyFill="1" applyBorder="1"/>
    <xf numFmtId="168" fontId="7" fillId="0" borderId="2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167" fontId="8" fillId="5" borderId="1" xfId="280" applyNumberFormat="1" applyFont="1" applyFill="1" applyBorder="1" applyAlignment="1"/>
    <xf numFmtId="0" fontId="8" fillId="5" borderId="1" xfId="0" applyFont="1" applyFill="1" applyBorder="1" applyAlignment="1">
      <alignment vertical="top"/>
    </xf>
    <xf numFmtId="167" fontId="7" fillId="0" borderId="1" xfId="280" applyNumberFormat="1" applyFont="1" applyBorder="1" applyAlignment="1"/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3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65" fontId="7" fillId="0" borderId="0" xfId="22482" applyNumberFormat="1" applyFont="1" applyFill="1" applyBorder="1"/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1" xfId="0" applyFont="1" applyFill="1" applyBorder="1"/>
    <xf numFmtId="0" fontId="8" fillId="8" borderId="9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8" xfId="1" applyNumberFormat="1" applyFont="1" applyFill="1" applyBorder="1"/>
    <xf numFmtId="168" fontId="12" fillId="0" borderId="0" xfId="1" applyNumberFormat="1" applyFont="1"/>
    <xf numFmtId="168" fontId="8" fillId="0" borderId="11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68" fontId="8" fillId="0" borderId="12" xfId="1" applyNumberFormat="1" applyFont="1" applyBorder="1" applyAlignment="1">
      <alignment horizontal="left"/>
    </xf>
    <xf numFmtId="165" fontId="16" fillId="0" borderId="3" xfId="1" applyNumberFormat="1" applyFont="1" applyFill="1" applyBorder="1"/>
    <xf numFmtId="168" fontId="16" fillId="0" borderId="3" xfId="1" applyNumberFormat="1" applyFont="1" applyFill="1" applyBorder="1"/>
    <xf numFmtId="165" fontId="24" fillId="0" borderId="3" xfId="1" applyNumberFormat="1" applyFont="1" applyBorder="1"/>
    <xf numFmtId="0" fontId="24" fillId="0" borderId="3" xfId="0" applyFont="1" applyBorder="1"/>
    <xf numFmtId="168" fontId="16" fillId="0" borderId="4" xfId="1" applyNumberFormat="1" applyFont="1" applyFill="1" applyBorder="1"/>
    <xf numFmtId="165" fontId="24" fillId="0" borderId="4" xfId="1" applyNumberFormat="1" applyFont="1" applyBorder="1"/>
    <xf numFmtId="0" fontId="24" fillId="0" borderId="4" xfId="0" applyFont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165" fontId="0" fillId="0" borderId="0" xfId="1" applyNumberFormat="1" applyFont="1"/>
    <xf numFmtId="49" fontId="0" fillId="0" borderId="0" xfId="0" applyNumberFormat="1"/>
    <xf numFmtId="165" fontId="8" fillId="4" borderId="2" xfId="1" applyNumberFormat="1" applyFont="1" applyFill="1" applyBorder="1" applyAlignment="1">
      <alignment vertical="center"/>
    </xf>
    <xf numFmtId="165" fontId="18" fillId="0" borderId="3" xfId="1" applyNumberFormat="1" applyFont="1" applyBorder="1"/>
    <xf numFmtId="49" fontId="18" fillId="0" borderId="19" xfId="0" applyNumberFormat="1" applyFont="1" applyBorder="1"/>
    <xf numFmtId="0" fontId="7" fillId="0" borderId="7" xfId="0" applyFont="1" applyBorder="1" applyAlignment="1">
      <alignment vertical="top" wrapText="1"/>
    </xf>
    <xf numFmtId="0" fontId="0" fillId="0" borderId="3" xfId="0" applyBorder="1"/>
    <xf numFmtId="0" fontId="0" fillId="0" borderId="4" xfId="0" applyBorder="1"/>
    <xf numFmtId="0" fontId="0" fillId="0" borderId="2" xfId="0" applyBorder="1"/>
    <xf numFmtId="49" fontId="25" fillId="4" borderId="18" xfId="0" applyNumberFormat="1" applyFont="1" applyFill="1" applyBorder="1" applyAlignment="1">
      <alignment vertical="center"/>
    </xf>
    <xf numFmtId="165" fontId="8" fillId="4" borderId="8" xfId="1" applyNumberFormat="1" applyFont="1" applyFill="1" applyBorder="1" applyAlignment="1">
      <alignment vertical="center"/>
    </xf>
    <xf numFmtId="0" fontId="8" fillId="0" borderId="7" xfId="0" applyFont="1" applyBorder="1"/>
    <xf numFmtId="0" fontId="7" fillId="0" borderId="0" xfId="0" applyFont="1" applyAlignment="1">
      <alignment horizontal="right"/>
    </xf>
    <xf numFmtId="4" fontId="0" fillId="0" borderId="0" xfId="0" applyNumberFormat="1"/>
    <xf numFmtId="165" fontId="18" fillId="0" borderId="1" xfId="1" applyNumberFormat="1" applyFont="1" applyBorder="1"/>
    <xf numFmtId="49" fontId="18" fillId="0" borderId="1" xfId="0" applyNumberFormat="1" applyFont="1" applyBorder="1"/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168" fontId="8" fillId="4" borderId="9" xfId="1" applyNumberFormat="1" applyFont="1" applyFill="1" applyBorder="1" applyAlignment="1">
      <alignment vertical="center"/>
    </xf>
    <xf numFmtId="49" fontId="18" fillId="4" borderId="5" xfId="0" applyNumberFormat="1" applyFont="1" applyFill="1" applyBorder="1" applyAlignment="1">
      <alignment vertical="center"/>
    </xf>
    <xf numFmtId="167" fontId="5" fillId="0" borderId="0" xfId="280" applyNumberFormat="1" applyFont="1" applyBorder="1"/>
    <xf numFmtId="167" fontId="5" fillId="0" borderId="0" xfId="0" applyNumberFormat="1" applyFont="1"/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0" fontId="9" fillId="0" borderId="0" xfId="282" applyFont="1" applyFill="1" applyAlignment="1"/>
    <xf numFmtId="168" fontId="8" fillId="0" borderId="19" xfId="1" applyNumberFormat="1" applyFont="1" applyBorder="1"/>
    <xf numFmtId="0" fontId="8" fillId="0" borderId="19" xfId="0" applyFont="1" applyBorder="1"/>
    <xf numFmtId="165" fontId="26" fillId="0" borderId="11" xfId="1" applyNumberFormat="1" applyFont="1" applyFill="1" applyBorder="1"/>
    <xf numFmtId="168" fontId="8" fillId="0" borderId="3" xfId="0" applyNumberFormat="1" applyFont="1" applyBorder="1"/>
    <xf numFmtId="168" fontId="7" fillId="0" borderId="4" xfId="1" applyNumberFormat="1" applyFont="1" applyBorder="1" applyAlignment="1">
      <alignment horizontal="right"/>
    </xf>
    <xf numFmtId="2" fontId="7" fillId="0" borderId="0" xfId="0" applyNumberFormat="1" applyFont="1"/>
    <xf numFmtId="168" fontId="7" fillId="0" borderId="2" xfId="1" applyNumberFormat="1" applyFont="1" applyBorder="1" applyAlignment="1">
      <alignment horizontal="right"/>
    </xf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0" applyNumberFormat="1" applyFont="1" applyBorder="1" applyAlignment="1">
      <alignment horizontal="right"/>
    </xf>
    <xf numFmtId="168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165" fontId="5" fillId="0" borderId="12" xfId="0" applyNumberFormat="1" applyFont="1" applyBorder="1" applyAlignment="1">
      <alignment horizontal="right"/>
    </xf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168" fontId="8" fillId="4" borderId="8" xfId="1" applyNumberFormat="1" applyFont="1" applyFill="1" applyBorder="1"/>
    <xf numFmtId="165" fontId="8" fillId="4" borderId="8" xfId="1" applyNumberFormat="1" applyFont="1" applyFill="1" applyBorder="1"/>
    <xf numFmtId="0" fontId="9" fillId="0" borderId="0" xfId="282" applyFont="1" applyFill="1" applyBorder="1" applyAlignment="1"/>
    <xf numFmtId="166" fontId="5" fillId="0" borderId="0" xfId="1" applyNumberFormat="1" applyFont="1"/>
    <xf numFmtId="168" fontId="5" fillId="0" borderId="0" xfId="1" applyNumberFormat="1" applyFont="1" applyFill="1"/>
    <xf numFmtId="165" fontId="26" fillId="0" borderId="0" xfId="1" applyNumberFormat="1" applyFont="1" applyFill="1" applyBorder="1"/>
    <xf numFmtId="168" fontId="6" fillId="0" borderId="0" xfId="1" applyNumberFormat="1" applyFont="1" applyFill="1" applyBorder="1" applyAlignment="1">
      <alignment horizontal="center" vertical="center"/>
    </xf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165" fontId="8" fillId="0" borderId="19" xfId="1" applyNumberFormat="1" applyFont="1" applyBorder="1"/>
    <xf numFmtId="168" fontId="7" fillId="0" borderId="0" xfId="1" applyNumberFormat="1" applyFont="1" applyFill="1" applyBorder="1"/>
    <xf numFmtId="49" fontId="5" fillId="0" borderId="0" xfId="280" applyNumberFormat="1" applyFont="1"/>
    <xf numFmtId="0" fontId="9" fillId="0" borderId="0" xfId="282" applyFont="1" applyAlignment="1"/>
    <xf numFmtId="0" fontId="5" fillId="0" borderId="0" xfId="0" applyFont="1" applyAlignment="1">
      <alignment vertical="top" wrapText="1"/>
    </xf>
    <xf numFmtId="166" fontId="7" fillId="0" borderId="0" xfId="284" applyNumberFormat="1" applyFont="1"/>
    <xf numFmtId="0" fontId="26" fillId="0" borderId="0" xfId="0" applyFont="1"/>
    <xf numFmtId="0" fontId="26" fillId="0" borderId="0" xfId="285" applyFont="1"/>
    <xf numFmtId="0" fontId="26" fillId="0" borderId="0" xfId="0" applyFont="1" applyAlignment="1">
      <alignment vertical="top" wrapText="1"/>
    </xf>
    <xf numFmtId="168" fontId="7" fillId="0" borderId="0" xfId="1" applyNumberFormat="1" applyFont="1" applyAlignment="1">
      <alignment horizontal="left"/>
    </xf>
    <xf numFmtId="168" fontId="6" fillId="0" borderId="0" xfId="1" applyNumberFormat="1" applyFont="1" applyAlignment="1">
      <alignment vertical="top" wrapText="1"/>
    </xf>
    <xf numFmtId="165" fontId="6" fillId="0" borderId="7" xfId="1" applyNumberFormat="1" applyFont="1" applyBorder="1"/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0" fontId="5" fillId="0" borderId="4" xfId="0" applyFont="1" applyBorder="1" applyAlignment="1">
      <alignment vertical="top"/>
    </xf>
    <xf numFmtId="168" fontId="5" fillId="0" borderId="12" xfId="1" applyNumberFormat="1" applyFont="1" applyBorder="1" applyAlignment="1">
      <alignment vertical="top" wrapText="1"/>
    </xf>
    <xf numFmtId="168" fontId="5" fillId="0" borderId="4" xfId="1" applyNumberFormat="1" applyFont="1" applyBorder="1" applyAlignment="1">
      <alignment vertical="top" wrapText="1"/>
    </xf>
    <xf numFmtId="168" fontId="6" fillId="0" borderId="9" xfId="1" applyNumberFormat="1" applyFont="1" applyBorder="1"/>
    <xf numFmtId="0" fontId="6" fillId="0" borderId="4" xfId="0" applyFont="1" applyBorder="1"/>
    <xf numFmtId="165" fontId="18" fillId="0" borderId="19" xfId="1" applyNumberFormat="1" applyFont="1" applyBorder="1"/>
    <xf numFmtId="0" fontId="7" fillId="0" borderId="11" xfId="0" applyFont="1" applyBorder="1" applyAlignment="1">
      <alignment vertical="top" wrapText="1"/>
    </xf>
    <xf numFmtId="168" fontId="7" fillId="0" borderId="0" xfId="1" applyNumberFormat="1" applyFont="1" applyBorder="1" applyAlignment="1">
      <alignment vertical="top"/>
    </xf>
    <xf numFmtId="165" fontId="6" fillId="0" borderId="19" xfId="1" applyNumberFormat="1" applyFont="1" applyBorder="1"/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173" fontId="7" fillId="0" borderId="1" xfId="1" applyNumberFormat="1" applyFont="1" applyBorder="1"/>
    <xf numFmtId="165" fontId="8" fillId="5" borderId="1" xfId="1" applyNumberFormat="1" applyFont="1" applyFill="1" applyBorder="1" applyAlignment="1">
      <alignment horizontal="left" vertical="center" wrapText="1"/>
    </xf>
    <xf numFmtId="165" fontId="8" fillId="5" borderId="1" xfId="1" applyNumberFormat="1" applyFont="1" applyFill="1" applyBorder="1" applyAlignment="1">
      <alignment horizontal="right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top" wrapText="1"/>
    </xf>
    <xf numFmtId="165" fontId="7" fillId="0" borderId="7" xfId="0" applyNumberFormat="1" applyFont="1" applyBorder="1"/>
    <xf numFmtId="0" fontId="7" fillId="0" borderId="7" xfId="0" applyFont="1" applyBorder="1"/>
    <xf numFmtId="0" fontId="8" fillId="0" borderId="2" xfId="0" applyFont="1" applyBorder="1"/>
    <xf numFmtId="168" fontId="5" fillId="5" borderId="3" xfId="1" applyNumberFormat="1" applyFont="1" applyFill="1" applyBorder="1"/>
    <xf numFmtId="165" fontId="5" fillId="5" borderId="3" xfId="1" applyNumberFormat="1" applyFont="1" applyFill="1" applyBorder="1"/>
    <xf numFmtId="168" fontId="5" fillId="0" borderId="11" xfId="1" applyNumberFormat="1" applyFont="1" applyFill="1" applyBorder="1"/>
    <xf numFmtId="168" fontId="5" fillId="0" borderId="3" xfId="1" applyNumberFormat="1" applyFont="1" applyBorder="1"/>
    <xf numFmtId="165" fontId="16" fillId="0" borderId="0" xfId="1" applyNumberFormat="1" applyFont="1"/>
    <xf numFmtId="165" fontId="22" fillId="0" borderId="0" xfId="1" applyNumberFormat="1" applyFont="1"/>
    <xf numFmtId="165" fontId="22" fillId="4" borderId="2" xfId="1" applyNumberFormat="1" applyFont="1" applyFill="1" applyBorder="1"/>
    <xf numFmtId="165" fontId="16" fillId="0" borderId="0" xfId="1" applyNumberFormat="1" applyFont="1" applyFill="1" applyBorder="1"/>
    <xf numFmtId="168" fontId="16" fillId="0" borderId="4" xfId="1" applyNumberFormat="1" applyFont="1" applyBorder="1" applyAlignment="1">
      <alignment vertical="top" wrapText="1"/>
    </xf>
    <xf numFmtId="168" fontId="16" fillId="0" borderId="11" xfId="1" applyNumberFormat="1" applyFont="1" applyBorder="1" applyAlignment="1">
      <alignment vertical="center" wrapText="1"/>
    </xf>
    <xf numFmtId="0" fontId="16" fillId="0" borderId="12" xfId="0" applyFont="1" applyBorder="1" applyAlignment="1">
      <alignment vertical="top"/>
    </xf>
    <xf numFmtId="165" fontId="16" fillId="0" borderId="4" xfId="1" applyNumberFormat="1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165" fontId="16" fillId="0" borderId="11" xfId="0" applyNumberFormat="1" applyFont="1" applyBorder="1" applyAlignment="1">
      <alignment horizontal="left"/>
    </xf>
    <xf numFmtId="165" fontId="16" fillId="0" borderId="12" xfId="1" applyNumberFormat="1" applyFont="1" applyBorder="1"/>
    <xf numFmtId="165" fontId="22" fillId="0" borderId="12" xfId="1" applyNumberFormat="1" applyFont="1" applyBorder="1"/>
    <xf numFmtId="165" fontId="22" fillId="0" borderId="4" xfId="1" applyNumberFormat="1" applyFont="1" applyBorder="1"/>
    <xf numFmtId="168" fontId="22" fillId="0" borderId="11" xfId="1" applyNumberFormat="1" applyFont="1" applyBorder="1"/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167" fontId="5" fillId="0" borderId="8" xfId="280" applyNumberFormat="1" applyFont="1" applyFill="1" applyBorder="1" applyAlignment="1">
      <alignment horizontal="right"/>
    </xf>
    <xf numFmtId="167" fontId="5" fillId="0" borderId="11" xfId="280" applyNumberFormat="1" applyFont="1" applyFill="1" applyBorder="1" applyAlignment="1">
      <alignment horizontal="right"/>
    </xf>
    <xf numFmtId="167" fontId="5" fillId="0" borderId="19" xfId="280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left"/>
    </xf>
    <xf numFmtId="0" fontId="6" fillId="0" borderId="1" xfId="0" applyFont="1" applyBorder="1"/>
    <xf numFmtId="165" fontId="7" fillId="0" borderId="1" xfId="1" applyNumberFormat="1" applyFont="1" applyBorder="1" applyAlignment="1">
      <alignment horizontal="right"/>
    </xf>
    <xf numFmtId="165" fontId="8" fillId="5" borderId="1" xfId="1" applyNumberFormat="1" applyFont="1" applyFill="1" applyBorder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8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165" fontId="7" fillId="0" borderId="11" xfId="1" applyNumberFormat="1" applyFont="1" applyFill="1" applyBorder="1"/>
    <xf numFmtId="165" fontId="7" fillId="0" borderId="2" xfId="0" applyNumberFormat="1" applyFont="1" applyBorder="1"/>
    <xf numFmtId="165" fontId="7" fillId="0" borderId="3" xfId="0" applyNumberFormat="1" applyFont="1" applyBorder="1"/>
    <xf numFmtId="165" fontId="8" fillId="4" borderId="8" xfId="1" applyNumberFormat="1" applyFont="1" applyFill="1" applyBorder="1" applyAlignment="1">
      <alignment vertical="center" wrapText="1"/>
    </xf>
    <xf numFmtId="168" fontId="8" fillId="4" borderId="8" xfId="1" applyNumberFormat="1" applyFont="1" applyFill="1" applyBorder="1" applyAlignment="1">
      <alignment vertical="center" wrapText="1"/>
    </xf>
    <xf numFmtId="168" fontId="8" fillId="4" borderId="2" xfId="1" applyNumberFormat="1" applyFont="1" applyFill="1" applyBorder="1" applyAlignment="1">
      <alignment vertical="center" wrapText="1"/>
    </xf>
    <xf numFmtId="165" fontId="7" fillId="0" borderId="8" xfId="1" applyNumberFormat="1" applyFont="1" applyFill="1" applyBorder="1"/>
    <xf numFmtId="168" fontId="8" fillId="6" borderId="1" xfId="1" applyNumberFormat="1" applyFont="1" applyFill="1" applyBorder="1"/>
    <xf numFmtId="168" fontId="6" fillId="0" borderId="0" xfId="1" applyNumberFormat="1" applyFont="1" applyFill="1"/>
    <xf numFmtId="0" fontId="8" fillId="5" borderId="1" xfId="0" applyFont="1" applyFill="1" applyBorder="1"/>
    <xf numFmtId="165" fontId="8" fillId="5" borderId="1" xfId="0" applyNumberFormat="1" applyFont="1" applyFill="1" applyBorder="1"/>
    <xf numFmtId="168" fontId="8" fillId="5" borderId="1" xfId="1" applyNumberFormat="1" applyFont="1" applyFill="1" applyBorder="1"/>
    <xf numFmtId="165" fontId="7" fillId="0" borderId="2" xfId="22488" applyNumberFormat="1" applyFont="1" applyFill="1" applyBorder="1"/>
    <xf numFmtId="165" fontId="7" fillId="0" borderId="4" xfId="22488" applyNumberFormat="1" applyFont="1" applyFill="1" applyBorder="1"/>
    <xf numFmtId="0" fontId="8" fillId="5" borderId="8" xfId="0" applyFont="1" applyFill="1" applyBorder="1" applyAlignment="1">
      <alignment vertical="top" wrapText="1"/>
    </xf>
    <xf numFmtId="0" fontId="7" fillId="6" borderId="4" xfId="0" applyFont="1" applyFill="1" applyBorder="1"/>
    <xf numFmtId="165" fontId="0" fillId="0" borderId="2" xfId="1" applyNumberFormat="1" applyFont="1" applyBorder="1"/>
    <xf numFmtId="165" fontId="0" fillId="0" borderId="4" xfId="1" applyNumberFormat="1" applyFont="1" applyBorder="1"/>
    <xf numFmtId="165" fontId="0" fillId="0" borderId="3" xfId="1" applyNumberFormat="1" applyFont="1" applyBorder="1"/>
    <xf numFmtId="165" fontId="24" fillId="0" borderId="2" xfId="1" applyNumberFormat="1" applyFont="1" applyBorder="1"/>
    <xf numFmtId="165" fontId="7" fillId="0" borderId="19" xfId="1" applyNumberFormat="1" applyFont="1" applyBorder="1"/>
    <xf numFmtId="165" fontId="7" fillId="0" borderId="7" xfId="1" applyNumberFormat="1" applyFont="1" applyBorder="1"/>
    <xf numFmtId="0" fontId="24" fillId="0" borderId="2" xfId="0" applyFont="1" applyBorder="1"/>
    <xf numFmtId="168" fontId="8" fillId="4" borderId="2" xfId="1" applyNumberFormat="1" applyFont="1" applyFill="1" applyBorder="1" applyAlignment="1">
      <alignment vertical="center"/>
    </xf>
    <xf numFmtId="165" fontId="24" fillId="0" borderId="11" xfId="1" applyNumberFormat="1" applyFont="1" applyBorder="1"/>
    <xf numFmtId="165" fontId="24" fillId="0" borderId="19" xfId="1" applyNumberFormat="1" applyFont="1" applyBorder="1"/>
    <xf numFmtId="165" fontId="24" fillId="0" borderId="8" xfId="1" applyNumberFormat="1" applyFont="1" applyBorder="1"/>
    <xf numFmtId="0" fontId="24" fillId="0" borderId="6" xfId="0" applyFont="1" applyBorder="1"/>
    <xf numFmtId="0" fontId="24" fillId="0" borderId="12" xfId="0" applyFont="1" applyBorder="1"/>
    <xf numFmtId="0" fontId="24" fillId="0" borderId="13" xfId="0" applyFont="1" applyBorder="1"/>
    <xf numFmtId="49" fontId="18" fillId="0" borderId="7" xfId="0" applyNumberFormat="1" applyFont="1" applyBorder="1"/>
    <xf numFmtId="165" fontId="8" fillId="4" borderId="12" xfId="1" applyNumberFormat="1" applyFont="1" applyFill="1" applyBorder="1" applyAlignment="1">
      <alignment vertical="center"/>
    </xf>
    <xf numFmtId="165" fontId="8" fillId="4" borderId="11" xfId="1" applyNumberFormat="1" applyFont="1" applyFill="1" applyBorder="1" applyAlignment="1">
      <alignment vertical="center"/>
    </xf>
    <xf numFmtId="168" fontId="7" fillId="0" borderId="2" xfId="1" applyNumberFormat="1" applyFont="1" applyBorder="1"/>
    <xf numFmtId="168" fontId="7" fillId="0" borderId="4" xfId="1" applyNumberFormat="1" applyFont="1" applyBorder="1"/>
    <xf numFmtId="168" fontId="7" fillId="0" borderId="3" xfId="1" applyNumberFormat="1" applyFont="1" applyBorder="1"/>
    <xf numFmtId="165" fontId="18" fillId="0" borderId="19" xfId="22480" applyNumberFormat="1" applyFont="1" applyBorder="1"/>
    <xf numFmtId="168" fontId="7" fillId="0" borderId="19" xfId="1" applyNumberFormat="1" applyFont="1" applyFill="1" applyBorder="1"/>
    <xf numFmtId="165" fontId="7" fillId="0" borderId="19" xfId="1" applyNumberFormat="1" applyFont="1" applyFill="1" applyBorder="1"/>
    <xf numFmtId="0" fontId="25" fillId="4" borderId="13" xfId="0" applyFont="1" applyFill="1" applyBorder="1"/>
    <xf numFmtId="0" fontId="25" fillId="4" borderId="3" xfId="0" applyFont="1" applyFill="1" applyBorder="1"/>
    <xf numFmtId="0" fontId="25" fillId="4" borderId="19" xfId="0" applyFont="1" applyFill="1" applyBorder="1"/>
    <xf numFmtId="0" fontId="8" fillId="4" borderId="13" xfId="0" applyFont="1" applyFill="1" applyBorder="1"/>
    <xf numFmtId="0" fontId="8" fillId="4" borderId="3" xfId="0" applyFont="1" applyFill="1" applyBorder="1"/>
    <xf numFmtId="0" fontId="8" fillId="4" borderId="19" xfId="0" applyFont="1" applyFill="1" applyBorder="1"/>
    <xf numFmtId="0" fontId="8" fillId="9" borderId="1" xfId="0" applyFont="1" applyFill="1" applyBorder="1"/>
    <xf numFmtId="0" fontId="6" fillId="0" borderId="1" xfId="25" applyFont="1" applyBorder="1"/>
    <xf numFmtId="165" fontId="5" fillId="0" borderId="13" xfId="1" applyNumberFormat="1" applyFont="1" applyBorder="1"/>
    <xf numFmtId="49" fontId="7" fillId="0" borderId="0" xfId="0" applyNumberFormat="1" applyFont="1"/>
    <xf numFmtId="49" fontId="7" fillId="0" borderId="4" xfId="0" applyNumberFormat="1" applyFont="1" applyBorder="1"/>
    <xf numFmtId="49" fontId="7" fillId="0" borderId="3" xfId="0" applyNumberFormat="1" applyFont="1" applyBorder="1"/>
    <xf numFmtId="49" fontId="7" fillId="0" borderId="2" xfId="0" applyNumberFormat="1" applyFont="1" applyBorder="1"/>
    <xf numFmtId="0" fontId="8" fillId="0" borderId="0" xfId="25" applyFont="1"/>
    <xf numFmtId="0" fontId="5" fillId="0" borderId="0" xfId="25" applyFont="1"/>
    <xf numFmtId="0" fontId="6" fillId="0" borderId="0" xfId="25" applyFont="1"/>
    <xf numFmtId="165" fontId="7" fillId="0" borderId="3" xfId="1" applyNumberFormat="1" applyFont="1" applyBorder="1" applyAlignment="1"/>
    <xf numFmtId="165" fontId="7" fillId="0" borderId="4" xfId="1" applyNumberFormat="1" applyFont="1" applyBorder="1" applyAlignment="1"/>
    <xf numFmtId="165" fontId="7" fillId="0" borderId="2" xfId="1" applyNumberFormat="1" applyFont="1" applyBorder="1" applyAlignment="1"/>
    <xf numFmtId="0" fontId="7" fillId="0" borderId="0" xfId="25" applyFont="1" applyAlignment="1">
      <alignment wrapText="1"/>
    </xf>
    <xf numFmtId="170" fontId="5" fillId="0" borderId="0" xfId="25" applyNumberFormat="1" applyFont="1"/>
    <xf numFmtId="165" fontId="5" fillId="0" borderId="0" xfId="25" applyNumberFormat="1" applyFont="1"/>
    <xf numFmtId="166" fontId="5" fillId="0" borderId="0" xfId="25" applyNumberFormat="1" applyFont="1"/>
    <xf numFmtId="49" fontId="8" fillId="0" borderId="0" xfId="0" applyNumberFormat="1" applyFont="1"/>
    <xf numFmtId="164" fontId="5" fillId="0" borderId="0" xfId="25" applyNumberFormat="1" applyFont="1"/>
    <xf numFmtId="11" fontId="5" fillId="0" borderId="0" xfId="25" applyNumberFormat="1" applyFont="1"/>
    <xf numFmtId="0" fontId="5" fillId="0" borderId="4" xfId="25" applyFont="1" applyBorder="1"/>
    <xf numFmtId="0" fontId="5" fillId="0" borderId="2" xfId="25" applyFont="1" applyBorder="1"/>
    <xf numFmtId="165" fontId="5" fillId="0" borderId="19" xfId="1" applyNumberFormat="1" applyFont="1" applyBorder="1"/>
    <xf numFmtId="165" fontId="5" fillId="0" borderId="11" xfId="1" applyNumberFormat="1" applyFont="1" applyBorder="1"/>
    <xf numFmtId="165" fontId="5" fillId="0" borderId="8" xfId="1" applyNumberFormat="1" applyFont="1" applyBorder="1"/>
    <xf numFmtId="165" fontId="7" fillId="0" borderId="0" xfId="1" applyNumberFormat="1" applyFont="1" applyFill="1" applyBorder="1" applyAlignment="1">
      <alignment vertical="top"/>
    </xf>
    <xf numFmtId="168" fontId="7" fillId="0" borderId="0" xfId="1" applyNumberFormat="1" applyFont="1" applyBorder="1" applyAlignment="1">
      <alignment vertical="top" wrapText="1"/>
    </xf>
    <xf numFmtId="165" fontId="5" fillId="0" borderId="0" xfId="1" applyNumberFormat="1" applyFont="1" applyAlignment="1"/>
    <xf numFmtId="165" fontId="16" fillId="0" borderId="0" xfId="1" applyNumberFormat="1" applyFont="1" applyAlignment="1"/>
    <xf numFmtId="165" fontId="16" fillId="0" borderId="4" xfId="1" applyNumberFormat="1" applyFont="1" applyBorder="1" applyAlignment="1">
      <alignment horizontal="left"/>
    </xf>
    <xf numFmtId="168" fontId="16" fillId="0" borderId="11" xfId="1" applyNumberFormat="1" applyFont="1" applyBorder="1" applyAlignment="1">
      <alignment vertical="center"/>
    </xf>
    <xf numFmtId="165" fontId="16" fillId="0" borderId="4" xfId="1" applyNumberFormat="1" applyFont="1" applyBorder="1" applyAlignment="1"/>
    <xf numFmtId="168" fontId="16" fillId="0" borderId="4" xfId="1" applyNumberFormat="1" applyFont="1" applyBorder="1" applyAlignment="1">
      <alignment vertical="top"/>
    </xf>
    <xf numFmtId="43" fontId="5" fillId="0" borderId="0" xfId="0" applyNumberFormat="1" applyFont="1" applyAlignment="1">
      <alignment wrapText="1"/>
    </xf>
    <xf numFmtId="165" fontId="5" fillId="0" borderId="0" xfId="1" applyNumberFormat="1" applyFont="1" applyAlignment="1">
      <alignment wrapText="1"/>
    </xf>
    <xf numFmtId="165" fontId="16" fillId="0" borderId="4" xfId="1" applyNumberFormat="1" applyFont="1" applyBorder="1" applyAlignment="1">
      <alignment wrapText="1"/>
    </xf>
    <xf numFmtId="165" fontId="7" fillId="0" borderId="11" xfId="0" applyNumberFormat="1" applyFont="1" applyBorder="1" applyAlignment="1">
      <alignment wrapText="1"/>
    </xf>
    <xf numFmtId="165" fontId="16" fillId="0" borderId="11" xfId="0" applyNumberFormat="1" applyFont="1" applyBorder="1"/>
    <xf numFmtId="165" fontId="16" fillId="0" borderId="11" xfId="1" applyNumberFormat="1" applyFont="1" applyBorder="1" applyAlignment="1">
      <alignment wrapText="1"/>
    </xf>
    <xf numFmtId="165" fontId="16" fillId="0" borderId="3" xfId="1" applyNumberFormat="1" applyFont="1" applyBorder="1" applyAlignment="1">
      <alignment wrapText="1"/>
    </xf>
    <xf numFmtId="165" fontId="5" fillId="0" borderId="0" xfId="1" applyNumberFormat="1" applyFont="1" applyAlignment="1">
      <alignment vertical="top" wrapText="1"/>
    </xf>
    <xf numFmtId="168" fontId="16" fillId="0" borderId="11" xfId="1" applyNumberFormat="1" applyFont="1" applyBorder="1" applyAlignment="1">
      <alignment vertical="top" wrapText="1"/>
    </xf>
    <xf numFmtId="165" fontId="5" fillId="0" borderId="0" xfId="1" applyNumberFormat="1" applyFont="1" applyAlignment="1">
      <alignment vertical="top"/>
    </xf>
    <xf numFmtId="165" fontId="16" fillId="0" borderId="11" xfId="1" applyNumberFormat="1" applyFont="1" applyBorder="1" applyAlignment="1">
      <alignment vertical="top" wrapText="1"/>
    </xf>
    <xf numFmtId="165" fontId="16" fillId="0" borderId="4" xfId="1" applyNumberFormat="1" applyFont="1" applyBorder="1" applyAlignment="1">
      <alignment vertical="top" wrapText="1"/>
    </xf>
    <xf numFmtId="0" fontId="16" fillId="0" borderId="12" xfId="0" applyFont="1" applyBorder="1" applyAlignment="1">
      <alignment vertical="center"/>
    </xf>
    <xf numFmtId="0" fontId="16" fillId="0" borderId="12" xfId="0" applyFont="1" applyBorder="1" applyAlignment="1">
      <alignment wrapText="1"/>
    </xf>
    <xf numFmtId="165" fontId="16" fillId="0" borderId="2" xfId="1" applyNumberFormat="1" applyFont="1" applyBorder="1" applyAlignment="1">
      <alignment wrapText="1"/>
    </xf>
    <xf numFmtId="174" fontId="7" fillId="0" borderId="0" xfId="0" applyNumberFormat="1" applyFont="1"/>
    <xf numFmtId="165" fontId="16" fillId="6" borderId="1" xfId="1" applyNumberFormat="1" applyFont="1" applyFill="1" applyBorder="1"/>
    <xf numFmtId="165" fontId="7" fillId="0" borderId="4" xfId="1" applyNumberFormat="1" applyFont="1" applyBorder="1" applyAlignment="1">
      <alignment wrapText="1"/>
    </xf>
    <xf numFmtId="168" fontId="16" fillId="6" borderId="4" xfId="1" applyNumberFormat="1" applyFont="1" applyFill="1" applyBorder="1"/>
    <xf numFmtId="165" fontId="7" fillId="6" borderId="4" xfId="1" applyNumberFormat="1" applyFont="1" applyFill="1" applyBorder="1" applyAlignment="1">
      <alignment wrapText="1"/>
    </xf>
    <xf numFmtId="0" fontId="7" fillId="0" borderId="4" xfId="0" applyFont="1" applyBorder="1" applyAlignment="1">
      <alignment vertical="top" wrapText="1"/>
    </xf>
    <xf numFmtId="168" fontId="16" fillId="6" borderId="3" xfId="1" applyNumberFormat="1" applyFont="1" applyFill="1" applyBorder="1" applyAlignment="1">
      <alignment vertical="top" wrapText="1"/>
    </xf>
    <xf numFmtId="165" fontId="7" fillId="6" borderId="3" xfId="1" applyNumberFormat="1" applyFont="1" applyFill="1" applyBorder="1" applyAlignment="1">
      <alignment wrapText="1"/>
    </xf>
    <xf numFmtId="0" fontId="7" fillId="6" borderId="3" xfId="0" applyFont="1" applyFill="1" applyBorder="1" applyAlignment="1">
      <alignment vertical="top" wrapText="1"/>
    </xf>
    <xf numFmtId="165" fontId="7" fillId="0" borderId="0" xfId="0" applyNumberFormat="1" applyFont="1" applyAlignment="1">
      <alignment wrapText="1"/>
    </xf>
    <xf numFmtId="0" fontId="7" fillId="6" borderId="4" xfId="0" applyFont="1" applyFill="1" applyBorder="1" applyAlignment="1">
      <alignment wrapText="1"/>
    </xf>
    <xf numFmtId="168" fontId="16" fillId="6" borderId="2" xfId="1" applyNumberFormat="1" applyFont="1" applyFill="1" applyBorder="1"/>
    <xf numFmtId="165" fontId="7" fillId="6" borderId="2" xfId="1" applyNumberFormat="1" applyFont="1" applyFill="1" applyBorder="1" applyAlignment="1">
      <alignment wrapText="1"/>
    </xf>
    <xf numFmtId="0" fontId="7" fillId="6" borderId="2" xfId="0" applyFont="1" applyFill="1" applyBorder="1" applyAlignment="1">
      <alignment wrapText="1"/>
    </xf>
    <xf numFmtId="17" fontId="8" fillId="0" borderId="0" xfId="0" applyNumberFormat="1" applyFont="1"/>
    <xf numFmtId="0" fontId="8" fillId="4" borderId="4" xfId="0" applyFont="1" applyFill="1" applyBorder="1" applyAlignment="1">
      <alignment vertical="top"/>
    </xf>
    <xf numFmtId="0" fontId="8" fillId="4" borderId="2" xfId="0" applyFont="1" applyFill="1" applyBorder="1" applyAlignment="1">
      <alignment horizontal="center" vertical="top" wrapText="1"/>
    </xf>
    <xf numFmtId="165" fontId="7" fillId="0" borderId="9" xfId="1" applyNumberFormat="1" applyFont="1" applyBorder="1"/>
    <xf numFmtId="168" fontId="16" fillId="0" borderId="11" xfId="1" applyNumberFormat="1" applyFont="1" applyBorder="1" applyAlignment="1">
      <alignment vertical="top"/>
    </xf>
    <xf numFmtId="0" fontId="7" fillId="0" borderId="12" xfId="0" applyFont="1" applyBorder="1" applyAlignment="1">
      <alignment vertical="top" wrapText="1"/>
    </xf>
    <xf numFmtId="168" fontId="16" fillId="0" borderId="19" xfId="1" applyNumberFormat="1" applyFont="1" applyBorder="1" applyAlignment="1">
      <alignment vertical="top" wrapText="1"/>
    </xf>
    <xf numFmtId="165" fontId="7" fillId="0" borderId="3" xfId="1" applyNumberFormat="1" applyFont="1" applyBorder="1" applyAlignment="1">
      <alignment wrapText="1"/>
    </xf>
    <xf numFmtId="0" fontId="7" fillId="0" borderId="13" xfId="0" applyFont="1" applyBorder="1" applyAlignment="1">
      <alignment vertical="top" wrapText="1"/>
    </xf>
    <xf numFmtId="165" fontId="16" fillId="6" borderId="4" xfId="1" applyNumberFormat="1" applyFont="1" applyFill="1" applyBorder="1" applyAlignment="1">
      <alignment vertical="top"/>
    </xf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3" fontId="8" fillId="0" borderId="3" xfId="0" applyNumberFormat="1" applyFont="1" applyBorder="1"/>
    <xf numFmtId="165" fontId="5" fillId="0" borderId="0" xfId="1" applyNumberFormat="1" applyFont="1" applyBorder="1"/>
    <xf numFmtId="165" fontId="16" fillId="0" borderId="3" xfId="1" applyNumberFormat="1" applyFont="1" applyBorder="1"/>
    <xf numFmtId="165" fontId="16" fillId="0" borderId="2" xfId="1" applyNumberFormat="1" applyFont="1" applyBorder="1"/>
    <xf numFmtId="168" fontId="6" fillId="0" borderId="3" xfId="1" applyNumberFormat="1" applyFont="1" applyBorder="1"/>
    <xf numFmtId="168" fontId="8" fillId="4" borderId="1" xfId="1" applyNumberFormat="1" applyFont="1" applyFill="1" applyBorder="1"/>
    <xf numFmtId="168" fontId="6" fillId="6" borderId="11" xfId="1" applyNumberFormat="1" applyFont="1" applyFill="1" applyBorder="1"/>
    <xf numFmtId="165" fontId="5" fillId="0" borderId="3" xfId="0" applyNumberFormat="1" applyFont="1" applyBorder="1"/>
    <xf numFmtId="43" fontId="5" fillId="0" borderId="12" xfId="1" applyFont="1" applyBorder="1" applyAlignment="1">
      <alignment horizontal="left"/>
    </xf>
    <xf numFmtId="165" fontId="5" fillId="0" borderId="4" xfId="0" applyNumberFormat="1" applyFont="1" applyBorder="1"/>
    <xf numFmtId="165" fontId="5" fillId="0" borderId="2" xfId="0" applyNumberFormat="1" applyFont="1" applyBorder="1"/>
    <xf numFmtId="168" fontId="12" fillId="0" borderId="0" xfId="1" applyNumberFormat="1" applyFont="1" applyFill="1"/>
    <xf numFmtId="165" fontId="7" fillId="0" borderId="11" xfId="1" applyNumberFormat="1" applyFont="1" applyFill="1" applyBorder="1" applyAlignment="1"/>
    <xf numFmtId="165" fontId="7" fillId="0" borderId="11" xfId="1" applyNumberFormat="1" applyFont="1" applyFill="1" applyBorder="1" applyAlignment="1">
      <alignment vertical="top"/>
    </xf>
    <xf numFmtId="165" fontId="7" fillId="0" borderId="11" xfId="1" applyNumberFormat="1" applyFont="1" applyFill="1" applyBorder="1" applyAlignment="1">
      <alignment vertical="top" wrapText="1"/>
    </xf>
    <xf numFmtId="165" fontId="7" fillId="0" borderId="11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horizontal="right"/>
    </xf>
    <xf numFmtId="165" fontId="7" fillId="0" borderId="4" xfId="1" applyNumberFormat="1" applyFont="1" applyBorder="1" applyAlignment="1">
      <alignment horizontal="right"/>
    </xf>
    <xf numFmtId="165" fontId="7" fillId="0" borderId="4" xfId="1" applyNumberFormat="1" applyFont="1" applyFill="1" applyBorder="1" applyAlignment="1">
      <alignment wrapText="1"/>
    </xf>
    <xf numFmtId="165" fontId="7" fillId="0" borderId="4" xfId="1" applyNumberFormat="1" applyFont="1" applyFill="1" applyBorder="1" applyAlignment="1"/>
    <xf numFmtId="0" fontId="25" fillId="2" borderId="1" xfId="0" applyFont="1" applyFill="1" applyBorder="1"/>
    <xf numFmtId="165" fontId="25" fillId="2" borderId="1" xfId="1" applyNumberFormat="1" applyFont="1" applyFill="1" applyBorder="1"/>
    <xf numFmtId="168" fontId="5" fillId="0" borderId="1" xfId="0" applyNumberFormat="1" applyFont="1" applyBorder="1"/>
    <xf numFmtId="165" fontId="6" fillId="0" borderId="5" xfId="1" applyNumberFormat="1" applyFont="1" applyBorder="1"/>
    <xf numFmtId="0" fontId="8" fillId="3" borderId="0" xfId="0" applyFont="1" applyFill="1" applyAlignment="1">
      <alignment horizontal="left"/>
    </xf>
    <xf numFmtId="0" fontId="8" fillId="3" borderId="23" xfId="0" applyFont="1" applyFill="1" applyBorder="1" applyAlignment="1">
      <alignment horizontal="left"/>
    </xf>
    <xf numFmtId="0" fontId="8" fillId="3" borderId="20" xfId="0" applyFont="1" applyFill="1" applyBorder="1" applyAlignment="1">
      <alignment horizontal="left"/>
    </xf>
    <xf numFmtId="0" fontId="8" fillId="3" borderId="24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2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8" fillId="6" borderId="21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168" fontId="8" fillId="8" borderId="2" xfId="1" applyNumberFormat="1" applyFont="1" applyFill="1" applyBorder="1" applyAlignment="1">
      <alignment horizontal="center" vertical="center"/>
    </xf>
    <xf numFmtId="168" fontId="8" fillId="8" borderId="4" xfId="1" applyNumberFormat="1" applyFont="1" applyFill="1" applyBorder="1" applyAlignment="1">
      <alignment horizontal="center" vertical="center"/>
    </xf>
    <xf numFmtId="0" fontId="23" fillId="0" borderId="0" xfId="282" applyFont="1" applyFill="1" applyAlignment="1">
      <alignment horizontal="center"/>
    </xf>
    <xf numFmtId="0" fontId="8" fillId="8" borderId="2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69" fontId="8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9" fontId="8" fillId="4" borderId="1" xfId="0" applyNumberFormat="1" applyFont="1" applyFill="1" applyBorder="1" applyAlignment="1">
      <alignment horizontal="center" vertical="center"/>
    </xf>
    <xf numFmtId="169" fontId="8" fillId="4" borderId="9" xfId="0" applyNumberFormat="1" applyFont="1" applyFill="1" applyBorder="1" applyAlignment="1">
      <alignment horizontal="center" vertical="center"/>
    </xf>
    <xf numFmtId="169" fontId="8" fillId="4" borderId="5" xfId="0" applyNumberFormat="1" applyFont="1" applyFill="1" applyBorder="1" applyAlignment="1">
      <alignment horizontal="center" vertical="center"/>
    </xf>
    <xf numFmtId="0" fontId="12" fillId="0" borderId="0" xfId="282" applyFont="1" applyAlignment="1">
      <alignment horizontal="center"/>
    </xf>
    <xf numFmtId="169" fontId="8" fillId="4" borderId="10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8" fillId="0" borderId="0" xfId="282" applyFont="1" applyAlignment="1">
      <alignment horizontal="center"/>
    </xf>
    <xf numFmtId="0" fontId="27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8" fontId="8" fillId="0" borderId="0" xfId="1" applyNumberFormat="1" applyFont="1" applyAlignment="1">
      <alignment horizontal="left"/>
    </xf>
    <xf numFmtId="168" fontId="6" fillId="4" borderId="1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25" applyFont="1" applyFill="1" applyBorder="1" applyAlignment="1">
      <alignment horizontal="center" vertical="center"/>
    </xf>
    <xf numFmtId="0" fontId="6" fillId="4" borderId="4" xfId="25" applyFont="1" applyFill="1" applyBorder="1" applyAlignment="1">
      <alignment horizontal="center" vertical="center"/>
    </xf>
    <xf numFmtId="0" fontId="6" fillId="4" borderId="1" xfId="25" applyFont="1" applyFill="1" applyBorder="1" applyAlignment="1">
      <alignment horizontal="center" vertical="center"/>
    </xf>
    <xf numFmtId="0" fontId="6" fillId="4" borderId="8" xfId="25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21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9" xfId="25" applyFont="1" applyFill="1" applyBorder="1" applyAlignment="1">
      <alignment horizontal="center"/>
    </xf>
    <xf numFmtId="0" fontId="8" fillId="4" borderId="10" xfId="25" applyFont="1" applyFill="1" applyBorder="1" applyAlignment="1">
      <alignment horizontal="center"/>
    </xf>
    <xf numFmtId="0" fontId="8" fillId="4" borderId="5" xfId="25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3" xfId="1" applyNumberFormat="1" applyFont="1" applyFill="1" applyBorder="1" applyAlignment="1">
      <alignment horizontal="center" vertical="center"/>
    </xf>
    <xf numFmtId="168" fontId="8" fillId="6" borderId="2" xfId="1" applyNumberFormat="1" applyFont="1" applyFill="1" applyBorder="1" applyAlignment="1">
      <alignment horizontal="center" vertical="center"/>
    </xf>
    <xf numFmtId="168" fontId="8" fillId="6" borderId="4" xfId="1" applyNumberFormat="1" applyFont="1" applyFill="1" applyBorder="1" applyAlignment="1">
      <alignment horizontal="center" vertical="center"/>
    </xf>
    <xf numFmtId="168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7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auto="1"/>
        </left>
        <right/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auto="1"/>
        </left>
        <right/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7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theme="4" tint="0.79998168889431442"/>
          <bgColor auto="1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November 2025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November 2025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163513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711BD6D-5E94-4923-B6B6-31B93CE08456}" name="Table1312" displayName="Table1312" ref="A11:D229" headerRowCount="0" totalsRowShown="0" headerRowDxfId="774" dataDxfId="773" tableBorderDxfId="772">
  <sortState xmlns:xlrd2="http://schemas.microsoft.com/office/spreadsheetml/2017/richdata2" ref="A11:D229">
    <sortCondition descending="1" ref="D11:D229"/>
  </sortState>
  <tableColumns count="4">
    <tableColumn id="1" xr3:uid="{DC2A3E7E-9489-42EA-90EC-1B5D2B0A883E}" name="Column1" headerRowDxfId="771" dataDxfId="770"/>
    <tableColumn id="2" xr3:uid="{3626F2A5-2BD5-464C-A0F9-1E32EA136341}" name="Column2" headerRowDxfId="769" dataDxfId="768" headerRowCellStyle="Comma" dataCellStyle="Comma"/>
    <tableColumn id="3" xr3:uid="{50E3D6FA-1F8A-405F-8182-A617E06C1925}" name="Column3" headerRowDxfId="767" dataDxfId="766" headerRowCellStyle="Comma" dataCellStyle="Comma"/>
    <tableColumn id="4" xr3:uid="{4A7C8E6E-C550-41F9-9342-18E803AE070E}" name="Column4" headerRowDxfId="765" dataDxfId="764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03DEEDA-22AD-4153-9073-944505AEFE0B}" name="Table14" displayName="Table14" ref="A2:B26" headerRowCount="0" totalsRowShown="0" headerRowDxfId="655" tableBorderDxfId="654" headerRowCellStyle="Comma">
  <tableColumns count="2">
    <tableColumn id="1" xr3:uid="{FB7E14A4-22A2-4251-B187-304DA41B3B30}" name="Column1" headerRowDxfId="653" dataDxfId="652" headerRowCellStyle="Comma"/>
    <tableColumn id="2" xr3:uid="{49B6287F-A85B-4E10-AF90-F9EA326B2C63}" name="Column2" headerRowDxfId="651" dataDxfId="650" headerRowCellStyle="Comma" dataCellStyle="Comma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557BF1A2-D50F-47AA-98A3-F548818217FA}" name="Table17" displayName="Table17" ref="A2:B25" headerRowCount="0" totalsRowShown="0" headerRowBorderDxfId="649" tableBorderDxfId="648">
  <sortState xmlns:xlrd2="http://schemas.microsoft.com/office/spreadsheetml/2017/richdata2" ref="A2:B25">
    <sortCondition descending="1" ref="B2:B25"/>
  </sortState>
  <tableColumns count="2">
    <tableColumn id="1" xr3:uid="{365AFAE0-9023-4A32-80F9-814C74DB22FC}" name="Column1" headerRowDxfId="647" dataDxfId="646"/>
    <tableColumn id="2" xr3:uid="{921366DF-5440-4DC7-BCF7-B588D435C6D6}" name="Column2" headerRowDxfId="645" dataDxfId="644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7286EC0-B6E5-4EA0-82AC-94E6E1322526}" name="Table1851" displayName="Table1851" ref="C2:D7" headerRowCount="0" totalsRowShown="0" headerRowBorderDxfId="643" tableBorderDxfId="642">
  <sortState xmlns:xlrd2="http://schemas.microsoft.com/office/spreadsheetml/2017/richdata2" ref="C2:D7">
    <sortCondition descending="1" ref="D2:D7"/>
  </sortState>
  <tableColumns count="2">
    <tableColumn id="1" xr3:uid="{B625A06D-5D46-4469-B270-7CC4841F2958}" name="Column1" headerRowDxfId="641" dataDxfId="640"/>
    <tableColumn id="2" xr3:uid="{2E3B27ED-ECE3-4178-97FC-5E485BB7281A}" name="Column2" headerRowDxfId="639" dataDxfId="638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3567326-03ED-4429-9495-A1EB5AA834B0}" name="Table1952" displayName="Table1952" ref="E2:F5" headerRowCount="0" totalsRowShown="0" headerRowBorderDxfId="637" tableBorderDxfId="636">
  <tableColumns count="2">
    <tableColumn id="1" xr3:uid="{4DE9DC71-62F3-4BE0-BFE9-FD40CE428810}" name="Column1" headerRowDxfId="635"/>
    <tableColumn id="2" xr3:uid="{BC5C8A1D-94FC-4B63-A758-DF8B145DF687}" name="Column2" headerRowDxfId="634" headerRow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36E25CF-D582-483C-AD1A-45C9D5105B1F}" name="Table28" displayName="Table28" ref="B3:F15" headerRowCount="0" totalsRowShown="0" headerRowDxfId="633" dataDxfId="632" tableBorderDxfId="631">
  <tableColumns count="5">
    <tableColumn id="1" xr3:uid="{3CD6028A-7D6B-4ED7-939B-CE33321938CF}" name="Column1" headerRowDxfId="630" dataDxfId="629"/>
    <tableColumn id="2" xr3:uid="{7C95D549-C975-4164-82E7-4FAE140783D8}" name="Column2" headerRowDxfId="628" dataDxfId="627" headerRowCellStyle="Comma 133" dataCellStyle="Comma"/>
    <tableColumn id="3" xr3:uid="{55309E08-4078-426A-9C12-ED6DBB1326D2}" name="Column3" headerRowDxfId="626" dataDxfId="625" headerRowCellStyle="Comma 133" dataCellStyle="Comma"/>
    <tableColumn id="4" xr3:uid="{6E587D00-15AE-4063-830B-6F42F5CE7CDC}" name="Column4" headerRowDxfId="624" dataDxfId="623" headerRowCellStyle="Comma" dataCellStyle="Comma">
      <calculatedColumnFormula>-'Tab9 Trade Balance'!$D3</calculatedColumnFormula>
    </tableColumn>
    <tableColumn id="5" xr3:uid="{F77D87CF-CBC5-45EF-B72D-24D9907CE9B2}" name="Column5" headerRowDxfId="622" dataDxfId="621" dataCellStyle="Comma">
      <calculatedColumnFormula>'Tab9 Trade Balance'!$C3-'Tab9 Trade Balance'!$D3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A496F0E-E47A-45D4-8078-D172B0BAEF2F}" name="Table1637" displayName="Table1637" ref="A3:D177" headerRowCount="0" totalsRowShown="0" headerRowDxfId="620" dataDxfId="619" tableBorderDxfId="618">
  <sortState xmlns:xlrd2="http://schemas.microsoft.com/office/spreadsheetml/2017/richdata2" ref="A3:D165">
    <sortCondition descending="1" ref="D3:D165"/>
  </sortState>
  <tableColumns count="4">
    <tableColumn id="1" xr3:uid="{1366E37D-ACDF-4A42-A9A5-86B84A85C562}" name="Column1" headerRowDxfId="617" dataDxfId="616"/>
    <tableColumn id="2" xr3:uid="{BE5FEE0E-3FA3-4F85-A7EC-51895C32F48B}" name="Column2" headerRowDxfId="615" dataDxfId="614" headerRowCellStyle="Comma 153" dataCellStyle="Comma"/>
    <tableColumn id="3" xr3:uid="{104F3EA0-5AD2-4C82-9150-DD3CCEC421B7}" name="Column3" headerRowDxfId="613" dataDxfId="612" headerRowCellStyle="Comma 153" dataCellStyle="Comma"/>
    <tableColumn id="4" xr3:uid="{326EE0D5-D446-44B9-9E0C-4C6FAE701158}" name="Column4" headerRowDxfId="611" dataDxfId="610" headerRowCellStyle="Comma" dataCellStyle="Comma">
      <calculatedColumnFormula>Table1637[[#This Row],[Column2]]-Table1637[[#This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0C66BBE-4672-44F8-89BA-08B171D26EE1}" name="Table4124" displayName="Table4124" ref="A3:D258" headerRowCount="0" totalsRowShown="0" headerRowDxfId="609" dataDxfId="608" tableBorderDxfId="607">
  <sortState xmlns:xlrd2="http://schemas.microsoft.com/office/spreadsheetml/2017/richdata2" ref="A3:D251">
    <sortCondition descending="1" ref="D3:D251"/>
  </sortState>
  <tableColumns count="4">
    <tableColumn id="1" xr3:uid="{83AF41DA-34B5-4BF9-AD7C-3A41A7167ECC}" name="Column1" headerRowDxfId="606" dataDxfId="605"/>
    <tableColumn id="2" xr3:uid="{5CCCC1B8-0BF6-46FD-97FA-FC6F1246CB0F}" name="Column2" headerRowDxfId="604" dataDxfId="603" headerRowCellStyle="Comma 153" dataCellStyle="Comma"/>
    <tableColumn id="3" xr3:uid="{EB8677A1-CC5F-46B1-B400-3F08473CE9AF}" name="Column3" headerRowDxfId="602" dataDxfId="601" headerRowCellStyle="Comma 153" dataCellStyle="Comma"/>
    <tableColumn id="4" xr3:uid="{05958B1A-6ACD-4FFE-ADC6-4B8E8B53C197}" name="Column4" headerRowDxfId="600" dataDxfId="599" headerRowCellStyle="Comma" dataCellStyle="Comma">
      <calculatedColumnFormula>Table4124[[#This Row],[Column2]]-Table4124[[#This Row],[Column3]]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61BC581-1DF3-42DC-89A4-B473372294B4}" name="Table12" displayName="Table12" ref="A4:I132" headerRowCount="0" totalsRowCount="1" headerRowDxfId="598" dataDxfId="597" totalsRowDxfId="595" tableBorderDxfId="596" headerRowCellStyle="Comma" dataCellStyle="Comma">
  <tableColumns count="9">
    <tableColumn id="1" xr3:uid="{FA7C7FAB-6D8A-435E-9242-FAA6CA085EC9}" name="Column1" totalsRowLabel="Total" headerRowDxfId="594" dataDxfId="593" totalsRowDxfId="592" dataCellStyle="Comma 155"/>
    <tableColumn id="2" xr3:uid="{1292BB7F-A281-4A38-BA44-0BE1D8D67AE7}" name="Column2" totalsRowFunction="custom" headerRowDxfId="591" dataDxfId="590" totalsRowDxfId="589" headerRowCellStyle="Comma 146" dataCellStyle="Comma">
      <totalsRowFormula>SUM(Table12[Column2])</totalsRowFormula>
    </tableColumn>
    <tableColumn id="3" xr3:uid="{B9C8FB7D-77FA-461B-B928-817249FA3B77}" name="Column3" totalsRowFunction="custom" headerRowDxfId="588" dataDxfId="587" totalsRowDxfId="586" headerRowCellStyle="Comma" dataCellStyle="Comma">
      <calculatedColumnFormula>(B4/$B$132)*100</calculatedColumnFormula>
      <totalsRowFormula>SUM(Table12[Column3])</totalsRowFormula>
    </tableColumn>
    <tableColumn id="4" xr3:uid="{6CFB103F-8849-4BBE-A0A9-C694647A90A4}" name="Column4" totalsRowFunction="custom" headerRowDxfId="585" dataDxfId="584" totalsRowDxfId="583" headerRowCellStyle="Comma 146" dataCellStyle="Comma">
      <totalsRowFormula>SUM(Table12[Column4])</totalsRowFormula>
    </tableColumn>
    <tableColumn id="5" xr3:uid="{52484B71-8601-4891-85FA-62BA3ED48C1C}" name="Column5" totalsRowFunction="custom" headerRowDxfId="582" dataDxfId="581" totalsRowDxfId="580" headerRowCellStyle="Comma" dataCellStyle="Comma">
      <calculatedColumnFormula>(D4/$D$132)*100</calculatedColumnFormula>
      <totalsRowFormula>SUM(Table12[Column5])</totalsRowFormula>
    </tableColumn>
    <tableColumn id="6" xr3:uid="{7CEC52F5-6661-46BC-9683-02C985CC08D7}" name="Column6" totalsRowFunction="custom" headerRowDxfId="579" dataDxfId="578" totalsRowDxfId="577" headerRowCellStyle="Comma 146" dataCellStyle="Comma">
      <totalsRowFormula>SUM(Table12[Column6])</totalsRowFormula>
    </tableColumn>
    <tableColumn id="7" xr3:uid="{A61FABFC-B1A1-46DF-8D8F-E6109C13CD82}" name="Column7" totalsRowFunction="custom" headerRowDxfId="576" dataDxfId="575" totalsRowDxfId="574" headerRowCellStyle="Comma" dataCellStyle="Comma">
      <calculatedColumnFormula>(F4/$F$132)*100</calculatedColumnFormula>
      <totalsRowFormula>SUM(Table12[Column7])</totalsRowFormula>
    </tableColumn>
    <tableColumn id="8" xr3:uid="{164D580E-123D-4ECF-BA53-98EA24C8F066}" name="Column8" totalsRowFunction="custom" headerRowDxfId="573" dataDxfId="572" totalsRowDxfId="571" headerRowCellStyle="Comma" dataCellStyle="Comma">
      <calculatedColumnFormula>((F4/D4)-1)*100</calculatedColumnFormula>
      <totalsRowFormula>((F132/D132)-1)*100</totalsRowFormula>
    </tableColumn>
    <tableColumn id="9" xr3:uid="{40090805-B71D-446D-80AE-EB19D2E35081}" name="Column9" totalsRowFunction="custom" headerRowDxfId="570" dataDxfId="569" totalsRowDxfId="568" headerRowCellStyle="Comma" dataCellStyle="Comma">
      <calculatedColumnFormula>((F4/B4)-1)*100</calculatedColumnFormula>
      <totalsRowFormula>((F132/B132)-1)*100</totalsRow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7B7B7F1-AAE4-432C-866A-06C484778E59}" name="Table223729" displayName="Table223729" ref="A4:I187" headerRowCount="0" totalsRowCount="1" headerRowDxfId="567" dataDxfId="566" totalsRowDxfId="564" tableBorderDxfId="565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27A04E9-B65A-4ADA-BEBA-FC762E7E8272}" name="Column1" totalsRowLabel="Total" headerRowDxfId="563" dataDxfId="562" totalsRowDxfId="561"/>
    <tableColumn id="2" xr3:uid="{F4FE1AC8-36B0-4B3D-8AC9-5E4B0AF169A2}" name="Column2" totalsRowFunction="custom" headerRowDxfId="560" dataDxfId="559" totalsRowDxfId="558" headerRowCellStyle="Comma" dataCellStyle="Comma">
      <totalsRowFormula>SUM(Table223729[Column2])</totalsRowFormula>
    </tableColumn>
    <tableColumn id="3" xr3:uid="{643BE1C6-85F8-4379-A8CA-DEE3DBBE3A7F}" name="Column3" totalsRowFunction="sum" headerRowDxfId="557" dataDxfId="556" totalsRowDxfId="555" headerRowCellStyle="Comma" dataCellStyle="Comma">
      <calculatedColumnFormula>(B4/$B$187)*100</calculatedColumnFormula>
    </tableColumn>
    <tableColumn id="4" xr3:uid="{672EFBAF-6A6B-4897-90F1-CF230F4A2B97}" name="Column4" totalsRowFunction="custom" headerRowDxfId="554" dataDxfId="553" totalsRowDxfId="552" headerRowCellStyle="Comma" dataCellStyle="Comma">
      <totalsRowFormula>SUM(Table223729[Column4])</totalsRowFormula>
    </tableColumn>
    <tableColumn id="5" xr3:uid="{2AF60E82-25FF-49E8-BA6E-9B181F86811B}" name="Column5" totalsRowFunction="sum" headerRowDxfId="551" dataDxfId="550" totalsRowDxfId="549" headerRowCellStyle="Comma" dataCellStyle="Comma">
      <calculatedColumnFormula>(D4/$D$187)*100</calculatedColumnFormula>
    </tableColumn>
    <tableColumn id="6" xr3:uid="{B9FA795D-0D9C-4237-B7B0-B72941F9E559}" name="Column6" totalsRowFunction="custom" headerRowDxfId="548" dataDxfId="547" totalsRowDxfId="546" headerRowCellStyle="Comma" dataCellStyle="Comma">
      <totalsRowFormula>SUM(Table223729[Column6])</totalsRowFormula>
    </tableColumn>
    <tableColumn id="7" xr3:uid="{7F3C9CAF-8484-486C-974B-D364E248481B}" name="Column7" totalsRowFunction="sum" headerRowDxfId="545" dataDxfId="544" totalsRowDxfId="543" headerRowCellStyle="Comma" dataCellStyle="Comma">
      <calculatedColumnFormula>(F4/Table223729[[#Totals],[Column6]])*100</calculatedColumnFormula>
    </tableColumn>
    <tableColumn id="8" xr3:uid="{0EDAFCF5-4C1D-48EA-BDB5-D691B7B58564}" name="Column8" totalsRowFunction="custom" headerRowDxfId="542" dataDxfId="541" totalsRowDxfId="540" headerRowCellStyle="Comma" dataCellStyle="Comma">
      <calculatedColumnFormula>((F4/D4)-1)*100</calculatedColumnFormula>
      <totalsRowFormula>((F187/D187)-1)*100</totalsRowFormula>
    </tableColumn>
    <tableColumn id="9" xr3:uid="{1019EA43-AC5E-4358-848B-5641C4DCD9C4}" name="Column9" totalsRowFunction="custom" headerRowDxfId="539" dataDxfId="538" totalsRowDxfId="537" headerRowCellStyle="Comma" dataCellStyle="Comma">
      <calculatedColumnFormula>((F4/B4)-1)*100</calculatedColumnFormula>
      <totalsRowFormula>((F187/B187)-1)*100</totalsRow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8772284-4C32-4516-9C44-32D1A34D1D16}" name="Table25" displayName="Table25" ref="A4:L244" headerRowCount="0" totalsRowShown="0" headerRowDxfId="536" dataDxfId="535" tableBorderDxfId="534" headerRowCellStyle="Comma" dataCellStyle="Comma">
  <tableColumns count="12">
    <tableColumn id="1" xr3:uid="{6617DE3D-4366-4CC0-A597-8566F7376D38}" name="Column1" headerRowDxfId="533" dataDxfId="532"/>
    <tableColumn id="2" xr3:uid="{B676C305-6578-4D1C-98ED-4516A70AFF42}" name="Column2" headerRowDxfId="531" dataDxfId="530" headerRowCellStyle="Comma" dataCellStyle="Comma"/>
    <tableColumn id="3" xr3:uid="{DBEC1595-70C1-4624-AF84-12BB56C69149}" name="Column3" headerRowDxfId="529" dataDxfId="528" headerRowCellStyle="Comma" dataCellStyle="Comma">
      <calculatedColumnFormula>(B4/$B$245)*100</calculatedColumnFormula>
    </tableColumn>
    <tableColumn id="4" xr3:uid="{4533531D-F697-496C-BE6C-23E48FEC6745}" name="Column4" headerRowDxfId="527" dataDxfId="526" headerRowCellStyle="Comma" dataCellStyle="Comma"/>
    <tableColumn id="5" xr3:uid="{97F63B8B-9DC0-4A4F-8C01-9B765411D7DE}" name="Column5" headerRowDxfId="525" dataDxfId="524" headerRowCellStyle="Comma" dataCellStyle="Comma">
      <calculatedColumnFormula>(D4/$D$245)*100</calculatedColumnFormula>
    </tableColumn>
    <tableColumn id="6" xr3:uid="{F9885280-F0F4-49D7-8FC3-99C3452D3F12}" name="Column6" headerRowDxfId="523" dataDxfId="522" headerRowCellStyle="Comma" dataCellStyle="Comma"/>
    <tableColumn id="7" xr3:uid="{6B882A8B-10A2-49D3-8E14-EF1919CE21B6}" name="Column7" headerRowDxfId="521" dataDxfId="520" headerRowCellStyle="Comma" dataCellStyle="Comma"/>
    <tableColumn id="8" xr3:uid="{31B80FF6-D7D8-4F97-B565-CB8B2A09257D}" name="Column8" headerRowDxfId="519" dataDxfId="518" headerRowCellStyle="Comma" dataCellStyle="Comma">
      <calculatedColumnFormula>F4+G4</calculatedColumnFormula>
    </tableColumn>
    <tableColumn id="9" xr3:uid="{20E76D22-8504-4985-9FF2-8CB83DDD5B01}" name="Column9" headerRowDxfId="517" dataDxfId="516" headerRowCellStyle="Comma" dataCellStyle="Comma">
      <calculatedColumnFormula>(F4/$H$245)*100</calculatedColumnFormula>
    </tableColumn>
    <tableColumn id="10" xr3:uid="{F2130AB9-4280-4737-AE82-7D853C217635}" name="Column10" headerRowDxfId="515" dataDxfId="514" headerRowCellStyle="Comma" dataCellStyle="Comma">
      <calculatedColumnFormula>(G4/$H$245)*100</calculatedColumnFormula>
    </tableColumn>
    <tableColumn id="11" xr3:uid="{34D5B06D-D6F5-4EBB-8C33-88666FD21C46}" name="Column11" headerRowDxfId="513" dataDxfId="512" headerRowCellStyle="Comma" dataCellStyle="Comma">
      <calculatedColumnFormula>((H4/D4)-1)*100</calculatedColumnFormula>
    </tableColumn>
    <tableColumn id="12" xr3:uid="{1E6921E3-9562-44AD-8DF3-C82FAD0A7F9D}" name="Column12" headerRowDxfId="511" dataDxfId="510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E6CB4A8-56FA-4F97-90AF-A6EDF99BD2CA}" name="Table844" displayName="Table844" ref="F11:I257" headerRowCount="0" totalsRowShown="0" headerRowDxfId="763" dataDxfId="762" tableBorderDxfId="761">
  <sortState xmlns:xlrd2="http://schemas.microsoft.com/office/spreadsheetml/2017/richdata2" ref="F11:I257">
    <sortCondition ref="I11:I257"/>
  </sortState>
  <tableColumns count="4">
    <tableColumn id="1" xr3:uid="{9890CF25-EAB9-4ACA-8F0E-042EB0FF95E4}" name="Column1" headerRowDxfId="760" dataDxfId="759"/>
    <tableColumn id="2" xr3:uid="{F0ED6F84-C14C-41FA-92B5-0B06C56AD83F}" name="Column2" headerRowDxfId="758" dataDxfId="757" headerRowCellStyle="Comma 150" dataCellStyle="Comma"/>
    <tableColumn id="3" xr3:uid="{A4C6DD33-C38C-49BF-A56D-B1365C6783DF}" name="Column3" headerRowDxfId="756" dataDxfId="755" headerRowCellStyle="Comma 2" dataCellStyle="Comma"/>
    <tableColumn id="4" xr3:uid="{CD5EEF10-F230-4C42-9F24-D3DB526AC64B}" name="Column4" headerRowDxfId="754" dataDxfId="753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913E9861-785F-4CAF-AA85-8FA9E903107B}" name="Table21" displayName="Table21" ref="A4:I132" headerRowCount="0" totalsRowShown="0" headerRowDxfId="509" dataDxfId="508" tableBorderDxfId="507" headerRowCellStyle="Comma" dataCellStyle="Comma">
  <sortState xmlns:xlrd2="http://schemas.microsoft.com/office/spreadsheetml/2017/richdata2" ref="A4:I132">
    <sortCondition descending="1" ref="F4:F132"/>
  </sortState>
  <tableColumns count="9">
    <tableColumn id="1" xr3:uid="{A8D816B3-2225-4EF7-8967-621D3E92E3DA}" name="Column1" headerRowDxfId="506" dataDxfId="505"/>
    <tableColumn id="2" xr3:uid="{9027BF6B-BA40-40CA-AB7D-BE87C66D5A10}" name="Column2" headerRowDxfId="504" dataDxfId="503" headerRowCellStyle="Comma 118" dataCellStyle="Comma"/>
    <tableColumn id="3" xr3:uid="{0EB677B2-A37C-41EC-A2ED-CDE4EB90E843}" name="Column3" headerRowDxfId="502" dataDxfId="501" headerRowCellStyle="Comma" dataCellStyle="Comma">
      <calculatedColumnFormula>(B4/$B$133)*100</calculatedColumnFormula>
    </tableColumn>
    <tableColumn id="4" xr3:uid="{010BDF3F-515D-4E7E-9377-D63BEB5ECB1C}" name="Column4" headerRowDxfId="500" dataDxfId="499" headerRowCellStyle="Comma 118" dataCellStyle="Comma"/>
    <tableColumn id="5" xr3:uid="{66948991-44A5-4E3D-9813-F22ECD0DFBC6}" name="Column5" headerRowDxfId="498" dataDxfId="497" headerRowCellStyle="Comma" dataCellStyle="Comma">
      <calculatedColumnFormula>(D4/$D$133)*100</calculatedColumnFormula>
    </tableColumn>
    <tableColumn id="6" xr3:uid="{075D4E6F-F1DC-41C1-8091-CEEC2B6AED9F}" name="Column6" headerRowDxfId="496" dataDxfId="495" headerRowCellStyle="Comma 118" dataCellStyle="Comma"/>
    <tableColumn id="7" xr3:uid="{2AF3874D-6180-4C78-9DB2-B02F15E68EF7}" name="Column7" headerRowDxfId="494" dataDxfId="493" headerRowCellStyle="Comma" dataCellStyle="Comma">
      <calculatedColumnFormula>(F4/$F$133)*100</calculatedColumnFormula>
    </tableColumn>
    <tableColumn id="8" xr3:uid="{E016A322-C8C2-4DB4-AF70-B16C78B54667}" name="Column8" headerRowDxfId="492" dataDxfId="491" headerRowCellStyle="Comma" dataCellStyle="Comma">
      <calculatedColumnFormula>((F4/D4)-1)*100</calculatedColumnFormula>
    </tableColumn>
    <tableColumn id="9" xr3:uid="{974CC38E-4740-4953-8169-90DEF0494918}" name="Column9" headerRowDxfId="490" dataDxfId="489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44847CE-A7B7-4595-A88D-9A4BF489FE26}" name="Table16" displayName="Table16" ref="A4:I257" headerRowCount="0" totalsRowShown="0" headerRowDxfId="488" dataDxfId="487" tableBorderDxfId="486" headerRowCellStyle="Comma">
  <tableColumns count="9">
    <tableColumn id="1" xr3:uid="{7349B799-3558-4889-9991-C21F5F98ADCB}" name="Column1" headerRowDxfId="485" dataDxfId="484"/>
    <tableColumn id="2" xr3:uid="{186C5220-37D1-478D-B2F0-1DA52398826C}" name="Column2" headerRowDxfId="483" dataDxfId="482" headerRowCellStyle="Comma" dataCellStyle="Comma"/>
    <tableColumn id="3" xr3:uid="{B9FF5E7B-12A1-4ACC-8BF5-4D083CC281F8}" name="Column3" headerRowDxfId="481" dataDxfId="480" headerRowCellStyle="Comma" dataCellStyle="Comma">
      <calculatedColumnFormula>(B4/$B$258)*100</calculatedColumnFormula>
    </tableColumn>
    <tableColumn id="4" xr3:uid="{FC4AEE7D-99A5-403D-9A2F-EA0611971C86}" name="Column4" headerRowDxfId="479" dataDxfId="478" headerRowCellStyle="Comma" dataCellStyle="Comma"/>
    <tableColumn id="5" xr3:uid="{E0B2F2E1-1852-41C2-879C-B08921BF5C3B}" name="Column5" headerRowDxfId="477" dataDxfId="476" headerRowCellStyle="Comma" dataCellStyle="Comma">
      <calculatedColumnFormula>(D4/$D$258)*100</calculatedColumnFormula>
    </tableColumn>
    <tableColumn id="6" xr3:uid="{811172F2-ACA6-4EF5-A8CE-CA1798A889BC}" name="Column6" headerRowDxfId="475" dataDxfId="474" headerRowCellStyle="Comma" dataCellStyle="Comma"/>
    <tableColumn id="7" xr3:uid="{03197873-FC26-4332-964D-00AFAC18FD7B}" name="Column7" headerRowDxfId="473" dataDxfId="472" headerRowCellStyle="Comma" dataCellStyle="Comma">
      <calculatedColumnFormula>(F4/$F$258)*100</calculatedColumnFormula>
    </tableColumn>
    <tableColumn id="8" xr3:uid="{982055C4-A2DD-4DAA-BD9F-6395976FA57F}" name="Column8" headerRowDxfId="471" dataDxfId="470" headerRowCellStyle="Comma" dataCellStyle="Comma">
      <calculatedColumnFormula>((F4/D4)-1)*100</calculatedColumnFormula>
    </tableColumn>
    <tableColumn id="9" xr3:uid="{A7C202F3-672C-424A-922B-2E7472805B19}" name="Column9" headerRowDxfId="469" dataDxfId="468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E02D9A9-3D8E-4387-9DBD-2815C473A12A}" name="Table2223" displayName="Table2223" ref="A2:F42" headerRowCount="0" totalsRowShown="0" headerRowDxfId="467" dataDxfId="466" tableBorderDxfId="465" headerRowCellStyle="Comma" dataCellStyle="Comma">
  <sortState xmlns:xlrd2="http://schemas.microsoft.com/office/spreadsheetml/2017/richdata2" ref="A2:F33">
    <sortCondition descending="1" ref="B2:B33"/>
  </sortState>
  <tableColumns count="6">
    <tableColumn id="1" xr3:uid="{F984ACB1-BDD0-41A1-A699-66C83269F35D}" name="Column1" headerRowDxfId="464" dataDxfId="463" dataCellStyle="Comma"/>
    <tableColumn id="2" xr3:uid="{288EB086-90E5-4E3A-88D6-179075A30789}" name="Column2" headerRowDxfId="462" dataDxfId="461" dataCellStyle="Comma"/>
    <tableColumn id="3" xr3:uid="{D2730133-AC87-43E4-9137-182C2535632E}" name="Column3" headerRowDxfId="460" dataDxfId="459" dataCellStyle="Comma"/>
    <tableColumn id="4" xr3:uid="{7B201935-6D1B-4A63-895B-A504279E6DBF}" name="Column4" headerRowDxfId="458" dataDxfId="457" dataCellStyle="Comma"/>
    <tableColumn id="5" xr3:uid="{783C5401-7196-4FDF-B381-8AB7FEEE7742}" name="Column5" headerRowDxfId="456" dataDxfId="455" dataCellStyle="Comma"/>
    <tableColumn id="6" xr3:uid="{3CE6E175-F261-4038-A3B6-80CD72A97452}" name="Column6" headerRowDxfId="454" dataDxfId="453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86E508C-686B-4787-883A-2773FB45607F}" name="Table174015" displayName="Table174015" ref="A2:F21" totalsRowShown="0" headerRowDxfId="452" dataDxfId="450" headerRowBorderDxfId="451" tableBorderDxfId="449" dataCellStyle="Comma">
  <sortState xmlns:xlrd2="http://schemas.microsoft.com/office/spreadsheetml/2017/richdata2" ref="A3:F21">
    <sortCondition descending="1" ref="F3:F21"/>
  </sortState>
  <tableColumns count="6">
    <tableColumn id="1" xr3:uid="{1A929A47-B9F7-4F32-A70B-F3C68FC18C0E}" name="Partner" dataDxfId="448" dataCellStyle="Comma"/>
    <tableColumn id="2" xr3:uid="{A22EEE43-EB0A-43BE-AF03-EF5C76315ABE}" name="284: Nickel ores and concentrates; nickel mattes, nickel oxide sinters and other intermediate products of nickel metallurgy" dataDxfId="447" dataCellStyle="Comma"/>
    <tableColumn id="3" xr3:uid="{1CBCF6BA-0171-40DC-8EA7-E18273975A01}" name="287: Ores and concentrates of base metals, n.e.s." dataDxfId="446" dataCellStyle="Comma"/>
    <tableColumn id="4" xr3:uid="{C1840D2F-0934-4FCA-A1E3-C69428DCA5BF}" name="334: Petroleum oils and oils obtained from bituminous minerals (other than crude); preparations, n.e.s.," dataDxfId="445" dataCellStyle="Comma"/>
    <tableColumn id="5" xr3:uid="{F0A842D8-DA6C-4429-AB51-7DC19A5D5D9D}" name="562: Fertilizers (other than those of group 272)" dataDxfId="444" dataCellStyle="Comma"/>
    <tableColumn id="6" xr3:uid="{FCA815CE-1076-4BE1-8A38-CF2DC43C801E}" name="667: Pearls and precious or semiprecious stones, unworked or worked" dataDxfId="443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3734F66-717E-4AF3-972D-39D12B5FE700}" name="Table54517" displayName="Table54517" ref="A2:F46" totalsRowShown="0" headerRowDxfId="442" dataDxfId="440" headerRowBorderDxfId="441" tableBorderDxfId="439" dataCellStyle="Comma">
  <sortState xmlns:xlrd2="http://schemas.microsoft.com/office/spreadsheetml/2017/richdata2" ref="A3:F46">
    <sortCondition descending="1" ref="F3:F46"/>
  </sortState>
  <tableColumns count="6">
    <tableColumn id="1" xr3:uid="{0B23B13A-3424-4440-B666-6D8A40517D29}" name="Partner" dataDxfId="438" dataCellStyle="Comma"/>
    <tableColumn id="2" xr3:uid="{4FA62323-4EC9-4B1A-8ECB-EE27C5AD1DB7}" name="284: Nickel ores and concentrates; nickel mattes, nickel oxide sinters and other intermediate products of nickel metallurgy" dataDxfId="437" dataCellStyle="Comma"/>
    <tableColumn id="3" xr3:uid="{A2155A8E-CA72-4B3A-B928-1752631E8D04}" name="287: Ores and concentrates of base metals, n.e.s." dataDxfId="436" dataCellStyle="Comma"/>
    <tableColumn id="4" xr3:uid="{AE0D0900-1111-4F28-BFCA-87D2F12631B8}" name="334: Petroleum oils and oils obtained from bituminous minerals (other than crude); preparations, n.e.s.," dataDxfId="435" dataCellStyle="Comma"/>
    <tableColumn id="5" xr3:uid="{9BA577FA-7FF1-4FEB-8A1E-9AEDAA1459C2}" name="562: Fertilizers (other than those of group 272)" dataDxfId="434" dataCellStyle="Comma"/>
    <tableColumn id="6" xr3:uid="{85F0BA6D-4C6F-45C9-B9DF-BBCC79E6C4A6}" name="782: Motor vehicles for the transport of goods and special-purpose motor vehicles" dataDxfId="433" dataCellStyle="Comma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4D2B3E5-66CA-4FD1-B84D-65DDC6D20C36}" name="Table27" displayName="Table27" ref="A3:F15" headerRowCount="0" totalsRowShown="0" headerRowDxfId="432" dataDxfId="430" headerRowBorderDxfId="431" tableBorderDxfId="429" headerRowCellStyle="Comma" dataCellStyle="Comma">
  <tableColumns count="6">
    <tableColumn id="1" xr3:uid="{3179DA3D-31B0-4086-933B-30E9486FB379}" name="Column1" headerRowDxfId="428" dataDxfId="427" totalsRowDxfId="426" dataCellStyle="Comma"/>
    <tableColumn id="2" xr3:uid="{99CDBC9E-4098-4B1E-92A1-AC0B6D16EE17}" name="Column2" headerRowDxfId="425" dataDxfId="424" totalsRowDxfId="423" dataCellStyle="Comma"/>
    <tableColumn id="3" xr3:uid="{B6C57B88-B51C-4AF5-B74B-DA89A0F76A5F}" name="Column3" headerRowDxfId="422" dataDxfId="421" totalsRowDxfId="420" dataCellStyle="Comma"/>
    <tableColumn id="4" xr3:uid="{D44DD32C-278D-4F8C-8770-5AC975F27E3A}" name="Column4" headerRowDxfId="419" dataDxfId="418" totalsRowDxfId="417" dataCellStyle="Comma"/>
    <tableColumn id="5" xr3:uid="{17B9D534-CD9E-4BAF-B4F9-D7D580DF4C5D}" name="Column5" headerRowDxfId="416" dataDxfId="415" totalsRowDxfId="414" dataCellStyle="Comma"/>
    <tableColumn id="6" xr3:uid="{B9D60DEE-8834-4EE6-9355-6DA69476C257}" name="Column6" headerRowDxfId="413" dataDxfId="412" totalsRowDxfId="411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DFDDFFA-8E4A-4762-9636-5947574153C0}" name="Table30329" displayName="Table30329" ref="A4:I13" headerRowCount="0" totalsRowShown="0" headerRowDxfId="410" dataDxfId="409" tableBorderDxfId="408" headerRowCellStyle="Comma" dataCellStyle="Comma">
  <tableColumns count="9">
    <tableColumn id="1" xr3:uid="{00000000-0010-0000-1200-000001000000}" name="Column1" headerRowDxfId="407" dataDxfId="406" headerRowCellStyle="Comma" dataCellStyle="Comma"/>
    <tableColumn id="2" xr3:uid="{00000000-0010-0000-1200-000002000000}" name="Column2" headerRowDxfId="405" dataDxfId="404" headerRowCellStyle="Comma" dataCellStyle="Comma 120"/>
    <tableColumn id="3" xr3:uid="{00000000-0010-0000-1200-000003000000}" name="Column3" headerRowDxfId="403" dataDxfId="402" headerRowCellStyle="Comma" dataCellStyle="Comma">
      <calculatedColumnFormula>(B4/$B$13)*100</calculatedColumnFormula>
    </tableColumn>
    <tableColumn id="4" xr3:uid="{00000000-0010-0000-1200-000004000000}" name="Column4" headerRowDxfId="401" dataDxfId="400" headerRowCellStyle="Comma" dataCellStyle="Comma 120"/>
    <tableColumn id="5" xr3:uid="{00000000-0010-0000-1200-000005000000}" name="Column5" headerRowDxfId="399" dataDxfId="398" headerRowCellStyle="Comma" dataCellStyle="Comma">
      <calculatedColumnFormula>(D4/$D$13)*100</calculatedColumnFormula>
    </tableColumn>
    <tableColumn id="6" xr3:uid="{00000000-0010-0000-1200-000006000000}" name="Column6" headerRowDxfId="397" dataDxfId="396" headerRowCellStyle="Comma" dataCellStyle="Comma 120"/>
    <tableColumn id="7" xr3:uid="{00000000-0010-0000-1200-000007000000}" name="Column7" headerRowDxfId="395" dataDxfId="394" headerRowCellStyle="Comma" dataCellStyle="Comma"/>
    <tableColumn id="8" xr3:uid="{00000000-0010-0000-1200-000008000000}" name="Column8" headerRowDxfId="393" dataDxfId="392" headerRowCellStyle="Comma" dataCellStyle="Comma">
      <calculatedColumnFormula>((F4/D4)-1)*100</calculatedColumnFormula>
    </tableColumn>
    <tableColumn id="9" xr3:uid="{00000000-0010-0000-1200-000009000000}" name="Column9" headerRowDxfId="391" dataDxfId="390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D29DBFE-81C2-4C14-9595-E8E9C6A74B3B}" name="Table118" displayName="Table118" ref="A2:J216" headerRowCount="0" totalsRowCount="1" headerRowDxfId="389" dataDxfId="387" headerRowBorderDxfId="388" tableBorderDxfId="386">
  <sortState xmlns:xlrd2="http://schemas.microsoft.com/office/spreadsheetml/2017/richdata2" ref="A2:J215">
    <sortCondition descending="1" ref="J2:J215"/>
  </sortState>
  <tableColumns count="10">
    <tableColumn id="1" xr3:uid="{94AA04BD-08FE-4345-B596-22E26DE4AB95}" name="Column1" totalsRowLabel="Total" headerRowDxfId="385" dataDxfId="384" totalsRowDxfId="383"/>
    <tableColumn id="2" xr3:uid="{F47D8B75-8418-4333-8BA9-4DA54363974E}" name="Column2" totalsRowFunction="sum" headerRowDxfId="382" dataDxfId="381" totalsRowDxfId="380" dataCellStyle="Comma"/>
    <tableColumn id="3" xr3:uid="{1FD08374-2188-4B85-B26D-B5B25443DB9B}" name="Column3" totalsRowFunction="sum" headerRowDxfId="379" dataDxfId="378" totalsRowDxfId="377" dataCellStyle="Comma"/>
    <tableColumn id="4" xr3:uid="{8C6D8318-FB2A-4C2C-979D-FB8A08F90C88}" name="Column4" totalsRowFunction="sum" headerRowDxfId="376" dataDxfId="375" totalsRowDxfId="374" dataCellStyle="Comma"/>
    <tableColumn id="5" xr3:uid="{39F7EE61-CBF6-4127-B1A2-06BF201720FB}" name="Column5" totalsRowFunction="sum" headerRowDxfId="373" dataDxfId="372" totalsRowDxfId="371" dataCellStyle="Comma"/>
    <tableColumn id="6" xr3:uid="{C4E25F12-A64A-4F01-86DF-807BC1093BF7}" name="Column6" totalsRowFunction="sum" headerRowDxfId="370" dataDxfId="369" totalsRowDxfId="368" dataCellStyle="Comma"/>
    <tableColumn id="7" xr3:uid="{05EF338B-F5B0-44BF-BD94-88787DE39193}" name="Column7" totalsRowFunction="sum" headerRowDxfId="367" dataDxfId="366" totalsRowDxfId="365" dataCellStyle="Comma"/>
    <tableColumn id="8" xr3:uid="{584C3877-F071-4728-9BAD-77BD0288A765}" name="Column8" totalsRowFunction="sum" headerRowDxfId="364" dataDxfId="363" totalsRowDxfId="362" dataCellStyle="Comma"/>
    <tableColumn id="9" xr3:uid="{0DBFB53D-253E-4BCA-B129-75AF941B1A8B}" name="Column9" totalsRowFunction="sum" headerRowDxfId="361" dataDxfId="360" totalsRowDxfId="359" dataCellStyle="Comma"/>
    <tableColumn id="10" xr3:uid="{F51EC78C-C567-40C6-8335-361CB34AF10B}" name="Column10" totalsRowFunction="sum" headerRowDxfId="358" dataDxfId="357" totalsRowDxfId="356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064715C-5E44-4BEF-AC3C-377870F97034}" name="Table323611" displayName="Table323611" ref="A4:I13" headerRowCount="0" totalsRowShown="0" headerRowDxfId="355" dataDxfId="354" tableBorderDxfId="353" headerRowCellStyle="Comma">
  <tableColumns count="9">
    <tableColumn id="1" xr3:uid="{00000000-0010-0000-1400-000001000000}" name="Column1" headerRowDxfId="352" dataDxfId="351" headerRowCellStyle="Comma" dataCellStyle="Comma"/>
    <tableColumn id="2" xr3:uid="{00000000-0010-0000-1400-000002000000}" name="Column2" headerRowDxfId="350" dataDxfId="349" headerRowCellStyle="Comma" dataCellStyle="Comma"/>
    <tableColumn id="3" xr3:uid="{00000000-0010-0000-1400-000003000000}" name="Column3" headerRowDxfId="348" dataDxfId="347" headerRowCellStyle="Comma" dataCellStyle="Comma">
      <calculatedColumnFormula>(B4/$B$13)*100</calculatedColumnFormula>
    </tableColumn>
    <tableColumn id="4" xr3:uid="{00000000-0010-0000-1400-000004000000}" name="Column4" headerRowDxfId="346" dataDxfId="345" headerRowCellStyle="Comma" dataCellStyle="Comma"/>
    <tableColumn id="5" xr3:uid="{00000000-0010-0000-1400-000005000000}" name="Column5" headerRowDxfId="344" dataDxfId="343" headerRowCellStyle="Comma" dataCellStyle="Comma">
      <calculatedColumnFormula>(D4/$D$13)*100</calculatedColumnFormula>
    </tableColumn>
    <tableColumn id="6" xr3:uid="{00000000-0010-0000-1400-000006000000}" name="Column6" headerRowDxfId="342" dataDxfId="341" headerRowCellStyle="Comma" dataCellStyle="Comma"/>
    <tableColumn id="7" xr3:uid="{00000000-0010-0000-1400-000007000000}" name="Column7" headerRowDxfId="340" dataDxfId="339" headerRowCellStyle="Comma" dataCellStyle="Comma"/>
    <tableColumn id="8" xr3:uid="{00000000-0010-0000-1400-000008000000}" name="Column8" headerRowDxfId="338" dataDxfId="337" headerRowCellStyle="Comma" dataCellStyle="Comma">
      <calculatedColumnFormula>((F4/D4)-1)*100</calculatedColumnFormula>
    </tableColumn>
    <tableColumn id="9" xr3:uid="{00000000-0010-0000-1400-000009000000}" name="Column9" headerRowDxfId="336" dataDxfId="33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D4EC1D3-EEE5-44DC-831F-4D572026ADAC}" name="Table1218" displayName="Table1218" ref="A2:J254" headerRowCount="0" totalsRowCount="1" headerRowDxfId="334" dataDxfId="332" headerRowBorderDxfId="333" tableBorderDxfId="331" dataCellStyle="Comma">
  <sortState xmlns:xlrd2="http://schemas.microsoft.com/office/spreadsheetml/2017/richdata2" ref="A2:J253">
    <sortCondition descending="1" ref="C2:C253"/>
  </sortState>
  <tableColumns count="10">
    <tableColumn id="1" xr3:uid="{94DE5067-B747-4126-A281-82A63A8256FF}" name="Column1" totalsRowLabel="Total" headerRowDxfId="330" dataDxfId="329" totalsRowDxfId="328"/>
    <tableColumn id="2" xr3:uid="{D04CB9BC-042C-4A08-A572-26C3FE6BFCD6}" name="Column2" totalsRowFunction="sum" headerRowDxfId="327" dataDxfId="326" totalsRowDxfId="325" dataCellStyle="Comma"/>
    <tableColumn id="3" xr3:uid="{CCCED8ED-9330-42E7-A319-AD0078EAA779}" name="Column3" totalsRowFunction="sum" headerRowDxfId="324" dataDxfId="323" totalsRowDxfId="322" dataCellStyle="Comma"/>
    <tableColumn id="4" xr3:uid="{3316D45D-F040-4EF0-86EC-652B0AF56B47}" name="Column4" totalsRowFunction="sum" headerRowDxfId="321" dataDxfId="320" totalsRowDxfId="319" dataCellStyle="Comma"/>
    <tableColumn id="5" xr3:uid="{04F2C16A-D74B-421B-83E8-F23FD2A9289B}" name="Column5" totalsRowFunction="sum" headerRowDxfId="318" dataDxfId="317" totalsRowDxfId="316" dataCellStyle="Comma"/>
    <tableColumn id="6" xr3:uid="{3A15B47E-E267-4762-893A-9C3D2DDD1230}" name="Column6" totalsRowFunction="sum" headerRowDxfId="315" dataDxfId="314" totalsRowDxfId="313" dataCellStyle="Comma"/>
    <tableColumn id="7" xr3:uid="{5E8EBA75-AAB9-48F0-A969-56B4F0B24B36}" name="Column7" totalsRowFunction="sum" headerRowDxfId="312" dataDxfId="311" totalsRowDxfId="310" dataCellStyle="Comma"/>
    <tableColumn id="8" xr3:uid="{55738517-B251-4737-A934-E3026A1E64DD}" name="Column8" totalsRowFunction="sum" headerRowDxfId="309" dataDxfId="308" totalsRowDxfId="307" dataCellStyle="Comma"/>
    <tableColumn id="9" xr3:uid="{F4AD1922-B4C8-4239-A5A2-8EBD6E593D88}" name="Column9" totalsRowFunction="sum" headerRowDxfId="306" dataDxfId="305" totalsRowDxfId="304" dataCellStyle="Comma"/>
    <tableColumn id="10" xr3:uid="{148C0539-3FF4-4B20-8A8A-AF1F58A61C45}" name="Column10" totalsRowFunction="sum" headerRowDxfId="303" dataDxfId="302" totalsRowDxfId="301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3DE30D-1BB8-4C69-9BC2-64BAADE09DB9}" name="Table5" displayName="Table5" ref="A2:E14" headerRowCount="0" totalsRowShown="0" headerRowDxfId="752" dataDxfId="751" tableBorderDxfId="750">
  <tableColumns count="5">
    <tableColumn id="1" xr3:uid="{4B463BFD-D75F-4230-AB56-F205E8D2CDB1}" name="Column1" headerRowDxfId="749" dataDxfId="748"/>
    <tableColumn id="2" xr3:uid="{AD0DB5F7-D5A3-4F36-9559-336E9800150A}" name="Column2" headerRowDxfId="747" dataDxfId="746" dataCellStyle="Comma 117"/>
    <tableColumn id="3" xr3:uid="{345A7A19-6510-492F-8450-423AFDE9EB00}" name="Column3" headerRowDxfId="745" dataDxfId="744" dataCellStyle="Comma 117"/>
    <tableColumn id="4" xr3:uid="{7578DCB3-634D-42CB-A81E-7BBA3B97C502}" name="Column4" headerRowDxfId="743" dataDxfId="742"/>
    <tableColumn id="5" xr3:uid="{C3E342DB-B6D4-48FE-B0A9-9AEA7A1A9655}" name="Column5" headerRowDxfId="741" dataDxfId="740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7CC2921F-F3DE-422B-9C03-13A4371B9873}" name="Table2458355" displayName="Table2458355" ref="A5:N250" headerRowCount="0" totalsRowCount="1" headerRowDxfId="300" dataDxfId="299" tableBorderDxfId="298" headerRowCellStyle="Comma 10 10 2 2 2 2 2 2 2 2 2 2 2 2" dataCellStyle="Comma">
  <sortState xmlns:xlrd2="http://schemas.microsoft.com/office/spreadsheetml/2017/richdata2" ref="A5:N246">
    <sortCondition descending="1" ref="N5:N246"/>
  </sortState>
  <tableColumns count="14">
    <tableColumn id="1" xr3:uid="{FE50A898-15B3-4847-8D7F-51C8645F7D78}" name="Column1" totalsRowLabel="Total" headerRowDxfId="297" dataDxfId="296" totalsRowDxfId="295" dataCellStyle="Comma"/>
    <tableColumn id="2" xr3:uid="{33C1AD4D-C33D-47A8-88C7-15EB95D07C87}" name="Column2" totalsRowFunction="custom" headerRowDxfId="294" dataDxfId="293" totalsRowDxfId="292" headerRowCellStyle="Comma 10 10 2 2 2 2 2 2 2 2 2 2 2 2" dataCellStyle="Comma">
      <totalsRowFormula>SUM(Table2458355[Column2])</totalsRowFormula>
    </tableColumn>
    <tableColumn id="3" xr3:uid="{7ADB15D9-F903-4ADD-B0AC-04142CE7B3FC}" name="Column3" totalsRowFunction="custom" headerRowDxfId="291" dataDxfId="290" totalsRowDxfId="289" headerRowCellStyle="Comma 10 10 2 2 2 2 2 2 2 2 2 2 2 2" dataCellStyle="Comma">
      <totalsRowFormula>SUM(Table2458355[Column3])</totalsRowFormula>
    </tableColumn>
    <tableColumn id="4" xr3:uid="{507647E3-A2F0-4034-8A55-F7710B284A0C}" name="Column4" totalsRowFunction="custom" headerRowDxfId="288" dataDxfId="287" totalsRowDxfId="286" headerRowCellStyle="Comma 10 10 2 2 2 2 2 2 2 2 2 2 2 2" dataCellStyle="Comma">
      <totalsRowFormula>SUM(Table2458355[Column4])</totalsRowFormula>
    </tableColumn>
    <tableColumn id="5" xr3:uid="{9A1095BB-3C30-48C8-9B48-786D0478F3DD}" name="Column5" headerRowDxfId="285" dataDxfId="284" totalsRowDxfId="283" headerRowCellStyle="Comma 10 10 2 2 2 2 2 2 2 2 2 2 2 2" dataCellStyle="Comma"/>
    <tableColumn id="6" xr3:uid="{7B108F0D-C0B5-4AFC-808A-BFB30B2EA611}" name="Column6" headerRowDxfId="282" dataDxfId="281" totalsRowDxfId="280" headerRowCellStyle="Comma 10 10 2 2 2 2 2 2 2 2 2 2 2 2" dataCellStyle="Comma"/>
    <tableColumn id="7" xr3:uid="{1CF032F0-E1E5-423B-BE86-AEC002E42E8D}" name="Column7" totalsRowFunction="sum" headerRowDxfId="279" dataDxfId="278" totalsRowDxfId="277" headerRowCellStyle="Comma 10 10 2 2 2 2 2 2 2 2 2 2 2 2" dataCellStyle="Comma"/>
    <tableColumn id="8" xr3:uid="{6D52E8FB-BBB0-4AFC-904C-5E111324DB1E}" name="Column8" totalsRowFunction="sum" headerRowDxfId="276" dataDxfId="275" totalsRowDxfId="274" headerRowCellStyle="Comma 10 10 2 2 2 2 2 2 2 2 2 2 2 2" dataCellStyle="Comma"/>
    <tableColumn id="9" xr3:uid="{88AA0829-6037-4D8F-A8D0-F2E4E4426EDA}" name="Column9" totalsRowFunction="sum" headerRowDxfId="273" dataDxfId="272" totalsRowDxfId="271" headerRowCellStyle="Comma 10 10 2 2 2 2 2 2 2 2 2 2 2 2" dataCellStyle="Comma"/>
    <tableColumn id="10" xr3:uid="{B2C4106A-BFC1-4EBE-BE82-F8E2F77D98F4}" name="Column10" headerRowDxfId="270" dataDxfId="269" totalsRowDxfId="268" headerRowCellStyle="Comma 10 10 2 2 2 2 2 2 2 2 2 2 2 2" dataCellStyle="Comma"/>
    <tableColumn id="11" xr3:uid="{D6F99381-863A-4921-BA08-F4390209CC1B}" name="Column11" headerRowDxfId="267" dataDxfId="266" totalsRowDxfId="265" headerRowCellStyle="Comma 10 10 2 2 2 2 2 2 2 2 2 2 2 2" dataCellStyle="Comma"/>
    <tableColumn id="12" xr3:uid="{50C97C50-4D9F-440D-8090-361CC65F620F}" name="Column12" totalsRowFunction="sum" headerRowDxfId="264" dataDxfId="263" totalsRowDxfId="262" headerRowCellStyle="Comma 10 10 2 2 2 2 2 2 2 2 2 2 2 2" dataCellStyle="Comma"/>
    <tableColumn id="13" xr3:uid="{DC4CF0C4-695B-406D-B205-6507F060DF8F}" name="Column13" totalsRowFunction="sum" headerRowDxfId="261" dataDxfId="260" totalsRowDxfId="259" headerRowCellStyle="Comma 10 10 2 2 2 2 2 2 2 2 2 2 2 2" dataCellStyle="Comma"/>
    <tableColumn id="14" xr3:uid="{A931AD8B-0A19-425D-A631-CA759B2C0F23}" name="Column14" totalsRowFunction="sum" headerRowDxfId="258" dataDxfId="257" totalsRowDxfId="256" headerRowCellStyle="Comma 10 10 2 2 2 2 2 2 2 2 2 2 2 2" dataCellStyle="Comma"/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E643B4-EEDD-4FFB-9B96-1E45ACE88343}" name="Table421116" displayName="Table421116" ref="A3:F8" headerRowCount="0" totalsRowCount="1" headerRowDxfId="255" dataDxfId="254" totalsRowDxfId="252" tableBorderDxfId="253" headerRowCellStyle="Comma 23">
  <tableColumns count="6">
    <tableColumn id="1" xr3:uid="{845392F7-3EB0-4ADE-85C0-FB34B180958D}" name="Column1" totalsRowLabel=" Total " headerRowDxfId="251" dataDxfId="250" totalsRowDxfId="249" dataCellStyle="Comma"/>
    <tableColumn id="2" xr3:uid="{1F20528A-5129-4DF7-B986-879A31AF3568}" name="Column2" totalsRowFunction="custom" headerRowDxfId="248" dataDxfId="247" totalsRowDxfId="246" headerRowCellStyle="Comma 23" dataCellStyle="Comma">
      <totalsRowFormula>SUM(B3:B7)</totalsRowFormula>
    </tableColumn>
    <tableColumn id="3" xr3:uid="{DA207716-BA8D-467C-B37D-4736F20EA9EA}" name="Column3" totalsRowFunction="custom" headerRowDxfId="245" dataDxfId="244" totalsRowDxfId="243" headerRowCellStyle="Comma 23" dataCellStyle="Comma">
      <totalsRowFormula>SUM(C3:C7)</totalsRowFormula>
    </tableColumn>
    <tableColumn id="4" xr3:uid="{D6BB679B-EEB8-44D1-85AD-132CC4265444}" name="Column4" totalsRowFunction="custom" headerRowDxfId="242" dataDxfId="241" totalsRowDxfId="240" headerRowCellStyle="Comma 23" dataCellStyle="Comma">
      <totalsRowFormula>SUM(D3:D7)</totalsRowFormula>
    </tableColumn>
    <tableColumn id="5" xr3:uid="{21E6899B-9E66-4D47-9CC0-A8E6A0CC3EC2}" name="Column5" totalsRowFunction="custom" headerRowDxfId="239" dataDxfId="238" totalsRowDxfId="237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36" dataDxfId="235" totalsRowDxfId="234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8694967-D738-48D7-984E-EF71FEF91530}" name="Table3896259" displayName="Table3896259" ref="A4:I10" headerRowCount="0" totalsRowShown="0" headerRowDxfId="233" dataDxfId="232" tableBorderDxfId="231">
  <tableColumns count="9">
    <tableColumn id="1" xr3:uid="{7F68F5E3-1151-4FC1-AFA8-5078D5163FD0}" name="Column1" headerRowDxfId="230" dataDxfId="229" headerRowCellStyle="Comma" dataCellStyle="Comma"/>
    <tableColumn id="2" xr3:uid="{7ECD1EE9-CFE5-4BC6-A40B-5948057B0E22}" name="Column2" headerRowDxfId="228" dataDxfId="227" headerRowCellStyle="Comma" dataCellStyle="Comma 72 2"/>
    <tableColumn id="3" xr3:uid="{46877253-AD85-4629-A8FF-A9FC5FCE3959}" name="Column3" headerRowDxfId="226" dataDxfId="225" headerRowCellStyle="Comma" dataCellStyle="Comma">
      <calculatedColumnFormula>(B4/$B$10)*100</calculatedColumnFormula>
    </tableColumn>
    <tableColumn id="4" xr3:uid="{1213770B-DA0B-4838-9D00-CA227B8C359E}" name="Column4" headerRowDxfId="224" dataDxfId="223" headerRowCellStyle="Comma" dataCellStyle="Comma 72 2"/>
    <tableColumn id="5" xr3:uid="{298D6763-4F9B-4E5D-B854-1DAAEBB4EDB1}" name="Column5" headerRowDxfId="222" dataDxfId="221" headerRowCellStyle="Comma" dataCellStyle="Comma">
      <calculatedColumnFormula>(D4/$D$10)*100</calculatedColumnFormula>
    </tableColumn>
    <tableColumn id="6" xr3:uid="{0914F7C7-D3FD-4E86-8DDD-17020BB8A426}" name="Column6" headerRowDxfId="220" dataDxfId="219" headerRowCellStyle="Comma" dataCellStyle="Comma 72 2"/>
    <tableColumn id="7" xr3:uid="{5531489D-0D81-4D03-B678-A0163D3D4E46}" name="Column7" headerRowDxfId="218" dataDxfId="217" headerRowCellStyle="Comma" dataCellStyle="Comma">
      <calculatedColumnFormula>(F4/$F$10)*100</calculatedColumnFormula>
    </tableColumn>
    <tableColumn id="8" xr3:uid="{FEE7E3A9-6557-406D-ABA9-B74FB7FA2DCE}" name="Column8" headerRowDxfId="216" dataDxfId="215" headerRowCellStyle="Comma" dataCellStyle="Comma">
      <calculatedColumnFormula>((F4/D4)-1)*100</calculatedColumnFormula>
    </tableColumn>
    <tableColumn id="9" xr3:uid="{0CF61064-6312-4B06-9A77-51C24127AC79}" name="Column9" headerRowDxfId="214" dataDxfId="213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97D9545-985F-4CA7-AD2C-7348EA5E01A2}" name="Table356353" displayName="Table356353" ref="A5:D261" headerRowCount="0" totalsRowCount="1" headerRowDxfId="212" dataDxfId="211" tableBorderDxfId="210" headerRowCellStyle="Comma 10 10 2 2 2 2 2 2 2 2 2 2 2 2" dataCellStyle="Comma">
  <sortState xmlns:xlrd2="http://schemas.microsoft.com/office/spreadsheetml/2017/richdata2" ref="A5:D260">
    <sortCondition descending="1" ref="D5:D260"/>
  </sortState>
  <tableColumns count="4">
    <tableColumn id="1" xr3:uid="{34726B55-9A2F-45F4-AC57-55B7FA588824}" name="Column1" headerRowDxfId="209" dataDxfId="208" totalsRowDxfId="207"/>
    <tableColumn id="2" xr3:uid="{BD0F3CE1-B889-406F-8073-204017D68307}" name="Column2" totalsRowFunction="sum" headerRowDxfId="206" dataDxfId="205" totalsRowDxfId="204" headerRowCellStyle="Comma 10 10 2 2 2 2 2 2 2 2 2 2 2 2" dataCellStyle="Comma"/>
    <tableColumn id="3" xr3:uid="{9BE739DC-42C5-404B-A803-DA55582DBE7A}" name="Column3" totalsRowFunction="sum" headerRowDxfId="203" dataDxfId="202" totalsRowDxfId="201" headerRowCellStyle="Comma 10 10 2 2 2 2 2 2 2 2 2 2 2 2" dataCellStyle="Comma"/>
    <tableColumn id="4" xr3:uid="{30F1BB36-CBB3-4AC3-8E03-15774AD6DDDB}" name="Column4" totalsRowFunction="sum" headerRowDxfId="200" dataDxfId="199" totalsRowDxfId="198" headerRowCellStyle="Comma 10 10 2 2 2 2 2 2 2 2 2 2 2 2" dataCellStyle="Comma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40D1893E-42CF-4F8A-A2DC-F127B2BBA418}" name="Table366454" displayName="Table366454" ref="F5:I261" headerRowCount="0" totalsRowCount="1" headerRowDxfId="197" dataDxfId="196" tableBorderDxfId="195" headerRowCellStyle="Comma 10 10 2 2 2 2 2 2 2 2 2 2 2 2" dataCellStyle="Comma">
  <sortState xmlns:xlrd2="http://schemas.microsoft.com/office/spreadsheetml/2017/richdata2" ref="F5:I260">
    <sortCondition descending="1" ref="I5:I260"/>
  </sortState>
  <tableColumns count="4">
    <tableColumn id="1" xr3:uid="{86FC7F32-9E19-4770-A76D-CE13E93137C2}" name="Column1" headerRowDxfId="194" dataDxfId="193" totalsRowDxfId="192"/>
    <tableColumn id="2" xr3:uid="{609AD3A0-7690-4DD4-B768-68628FAB7459}" name="Column2" totalsRowFunction="sum" headerRowDxfId="191" dataDxfId="190" totalsRowDxfId="189" headerRowCellStyle="Comma 10 10 2 2 2 2 2 2 2 2 2 2 2 2" dataCellStyle="Comma"/>
    <tableColumn id="3" xr3:uid="{C9A45DBF-E683-45A6-B306-38D93C317F3C}" name="Column3" totalsRowFunction="sum" headerRowDxfId="188" dataDxfId="187" totalsRowDxfId="186" headerRowCellStyle="Comma 10 10 2 2 2 2 2 2 2 2 2 2 2 2" dataCellStyle="Comma"/>
    <tableColumn id="4" xr3:uid="{64B78326-1700-4541-9827-55E50837D7BC}" name="Column4" totalsRowFunction="sum" headerRowDxfId="185" dataDxfId="184" totalsRowDxfId="183" headerRowCellStyle="Comma 10 10 2 2 2 2 2 2 2 2 2 2 2 2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F6CD8515-395C-48C3-BBB6-1173BB8537A8}" name="Table416555" displayName="Table416555" ref="K5:N261" headerRowCount="0" totalsRowCount="1" headerRowDxfId="182" dataDxfId="181" tableBorderDxfId="180" headerRowCellStyle="Comma 10 10 2 2 2 2 2 2 2 2 2 2 2 2" dataCellStyle="Comma">
  <sortState xmlns:xlrd2="http://schemas.microsoft.com/office/spreadsheetml/2017/richdata2" ref="K5:N260">
    <sortCondition descending="1" ref="N5:N260"/>
  </sortState>
  <tableColumns count="4">
    <tableColumn id="1" xr3:uid="{D050F62C-8435-4B6B-8FC3-113FF2FEA2A9}" name="Column1" headerRowDxfId="179" dataDxfId="178" totalsRowDxfId="177"/>
    <tableColumn id="2" xr3:uid="{0FCA6700-BF26-4986-AE6B-564A3E549E5C}" name="Column2" totalsRowFunction="sum" headerRowDxfId="176" dataDxfId="175" totalsRowDxfId="174" headerRowCellStyle="Comma 10 10 2 2 2 2 2 2 2 2 2 2 2 2" dataCellStyle="Comma"/>
    <tableColumn id="3" xr3:uid="{DD0D4D97-25ED-4FD2-8709-D0B217EBD42F}" name="Column3" totalsRowFunction="sum" headerRowDxfId="173" dataDxfId="172" totalsRowDxfId="171" headerRowCellStyle="Comma 10 10 2 2 2 2 2 2 2 2 2 2 2 2" dataCellStyle="Comma"/>
    <tableColumn id="4" xr3:uid="{2AB72F2A-CC99-42E0-9492-D025B8FECE7C}" name="Column4" totalsRowFunction="sum" headerRowDxfId="170" dataDxfId="169" totalsRowDxfId="168" headerRowCellStyle="Comma 10 10 2 2 2 2 2 2 2 2 2 2 2 2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38E568-B91D-4205-B32D-5CF1A4E6E6C0}" name="Table43146663" displayName="Table43146663" ref="A3:F9" headerRowCount="0" totalsRowShown="0" headerRowDxfId="167" dataDxfId="166" tableBorderDxfId="165" headerRowCellStyle="Comma 23">
  <tableColumns count="6">
    <tableColumn id="1" xr3:uid="{6B96967E-BA49-4688-B504-8499DB2FDAFF}" name="Column1" headerRowDxfId="164" dataDxfId="163"/>
    <tableColumn id="2" xr3:uid="{747AB297-B14A-4BA4-8689-FEB354AC4F95}" name="Column2" headerRowDxfId="162" dataDxfId="161" headerRowCellStyle="Comma 23" dataCellStyle="Comma 91"/>
    <tableColumn id="3" xr3:uid="{0C28AE2D-6315-4CFB-ABCA-112D31EED06D}" name="Column3" headerRowDxfId="160" dataDxfId="159" headerRowCellStyle="Comma 23" dataCellStyle="Comma 91"/>
    <tableColumn id="4" xr3:uid="{D0E597B2-BA48-43C1-9E73-CED8E11A0805}" name="Column4" headerRowDxfId="158" dataDxfId="157" headerRowCellStyle="Comma 23" dataCellStyle="Comma 91"/>
    <tableColumn id="5" xr3:uid="{A0B01EC8-41D5-4D6C-A310-F833484D3CEE}" name="Column5" headerRowDxfId="156" dataDxfId="155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54" dataDxfId="153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65F1DD0-488A-4934-B3B4-2C058E54B2E7}" name="Table76764" displayName="Table76764" ref="D3:E24" headerRowCount="0" totalsRowCount="1" headerRowDxfId="152" dataDxfId="151" tableBorderDxfId="150">
  <sortState xmlns:xlrd2="http://schemas.microsoft.com/office/spreadsheetml/2017/richdata2" ref="D3:E23">
    <sortCondition descending="1" ref="E3:E23"/>
  </sortState>
  <tableColumns count="2">
    <tableColumn id="1" xr3:uid="{A96DD6D1-F8DE-4060-9BA9-8900E1468E19}" name="Column1" totalsRowLabel="Total" headerRowDxfId="149" dataDxfId="148" totalsRowDxfId="1" dataCellStyle="Comma"/>
    <tableColumn id="2" xr3:uid="{91450C78-7CCB-4F94-94FA-DF14545F1D3F}" name="Column2" totalsRowFunction="sum" headerRowDxfId="147" dataDxfId="146" totalsRowDxfId="0" data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A2BFD6F-CD1E-4EA5-8964-B3E153EFC635}" name="Table476865" displayName="Table476865" ref="A3:B20" headerRowCount="0" totalsRowCount="1" headerRowDxfId="145" dataDxfId="144" totalsRowDxfId="142" tableBorderDxfId="143">
  <tableColumns count="2">
    <tableColumn id="1" xr3:uid="{72AC98D6-E45E-4DF6-A14B-4BD015434202}" name="Column1" totalsRowLabel="Total" headerRowDxfId="141" dataDxfId="140" totalsRowDxfId="3"/>
    <tableColumn id="2" xr3:uid="{A37AD7A7-DA5F-4CE8-9B04-705C84965CD0}" name="Column2" totalsRowFunction="sum" headerRowDxfId="139" dataDxfId="138" totalsRowDxfId="2" data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FA1A20F-E606-42E3-8536-7A867579344B}" name="Table486910" displayName="Table486910" ref="H3:J15" headerRowCount="0" totalsRowShown="0" headerRowDxfId="137" dataDxfId="136" tableBorderDxfId="135">
  <tableColumns count="3">
    <tableColumn id="1" xr3:uid="{7AF74353-B693-421C-94CB-8910BAE3EBED}" name="Column1" headerRowDxfId="134" dataDxfId="133" headerRowCellStyle="Comma" dataCellStyle="Comma"/>
    <tableColumn id="2" xr3:uid="{5BE05703-69D6-4778-A369-EFD11401E8CC}" name="Column2" headerRowDxfId="132" dataDxfId="131" dataCellStyle="Comma"/>
    <tableColumn id="3" xr3:uid="{6B7A022A-3909-4C55-8EAF-869C27A79067}" name="Column3" headerRowDxfId="130" dataDxfId="129" dataCellStyle="Comma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2885555-50F3-4AB0-8337-D6DB2489CC1B}" name="Table6" displayName="Table6" ref="A2:E13" headerRowCount="0" totalsRowShown="0" headerRowDxfId="739" dataDxfId="738" tableBorderDxfId="737" headerRowCellStyle="Comma" dataCellStyle="Comma">
  <tableColumns count="5">
    <tableColumn id="1" xr3:uid="{FACA3649-13E6-4568-A291-D223151BD851}" name="Column1" headerRowDxfId="736" dataDxfId="735" dataCellStyle="Comma"/>
    <tableColumn id="2" xr3:uid="{C4CAF884-0961-4950-8D23-DE9210B1FBE9}" name="Column2" headerRowDxfId="734" dataDxfId="733" dataCellStyle="Comma"/>
    <tableColumn id="3" xr3:uid="{9604AFF0-429E-4EFF-8BE1-8AB31F867D6D}" name="Column3" headerRowDxfId="732" dataDxfId="731" dataCellStyle="Comma"/>
    <tableColumn id="4" xr3:uid="{452F2BF5-4EBF-41E9-9C54-8A08A5052C38}" name="Column4" headerRowDxfId="730" dataDxfId="729" dataCellStyle="Comma"/>
    <tableColumn id="5" xr3:uid="{C012D0A3-B07E-41B4-8232-EEBB1487A5A7}" name="Column5" headerRowDxfId="728" dataDxfId="727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27949CB0-29D2-4050-AECD-A6341F29A64E}" name="Table497011" displayName="Table497011" ref="L3:Q83" headerRowCount="0" totalsRowCount="1" headerRowDxfId="128" dataDxfId="127" totalsRowDxfId="125" tableBorderDxfId="126">
  <tableColumns count="6">
    <tableColumn id="1" xr3:uid="{74462203-F51D-4002-8F32-BCAD0482F806}" name="Column1" headerRowDxfId="124" dataDxfId="123" totalsRowDxfId="122"/>
    <tableColumn id="2" xr3:uid="{70F05C5D-F103-4EB8-9E3F-1116368C1876}" name="Column2" totalsRowFunction="sum" headerRowDxfId="121" dataDxfId="120" totalsRowDxfId="119" dataCellStyle="Comma"/>
    <tableColumn id="3" xr3:uid="{8FEE6692-E603-4C08-A5D1-EF52405D9975}" name="Column3" totalsRowFunction="sum" headerRowDxfId="118" dataDxfId="117" totalsRowDxfId="116">
      <calculatedColumnFormula>(M3/$M$169)*100</calculatedColumnFormula>
    </tableColumn>
    <tableColumn id="4" xr3:uid="{16090596-34B2-4A2A-BBBD-2706B22F55BF}" name="Column4" headerRowDxfId="115" dataDxfId="114" totalsRowDxfId="113"/>
    <tableColumn id="5" xr3:uid="{1B0B4F5E-61EC-4B99-BD61-E98F83B1C1F7}" name="Column5" totalsRowFunction="sum" headerRowDxfId="112" dataDxfId="111" totalsRowDxfId="110" dataCellStyle="Comma" totalsRowCellStyle="Comma"/>
    <tableColumn id="6" xr3:uid="{B951C416-DA06-4EC1-8B01-210F57D4491B}" name="Column6" totalsRowFunction="sum" headerRowDxfId="109" dataDxfId="108" totalsRowDxfId="107">
      <calculatedColumnFormula>(P3/$P$83)*100</calculatedColumnFormula>
    </tableColumn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3AF8E7E-C440-457D-8DCD-626079324E59}" name="Table97168" displayName="Table97168" ref="A11:F48" headerRowCount="0" totalsRowShown="0" headerRowDxfId="106" dataDxfId="105" tableBorderDxfId="104">
  <tableColumns count="6">
    <tableColumn id="1" xr3:uid="{78841BF6-43DA-4DBE-8EEE-1E3B6F63D5E6}" name="Column1" headerRowDxfId="103" dataDxfId="102" dataCellStyle="Comma"/>
    <tableColumn id="2" xr3:uid="{88FBDED5-7427-4755-92E0-170CFD1E494F}" name="Column2" headerRowDxfId="101" dataDxfId="100" headerRowCellStyle="Comma 131" dataCellStyle="Comma 156"/>
    <tableColumn id="3" xr3:uid="{632F3559-7148-4B67-BC96-0CA9AFAAA8AC}" name="Column3" headerRowDxfId="99" dataDxfId="98" headerRowCellStyle="Comma" dataCellStyle="Comma">
      <calculatedColumnFormula>(#REF!/$B$48)*100</calculatedColumnFormula>
    </tableColumn>
    <tableColumn id="4" xr3:uid="{FCD85C03-FE85-4481-A44B-1596FFE4B9C4}" name="Column4" headerRowDxfId="97" dataDxfId="96"/>
    <tableColumn id="5" xr3:uid="{A4FB793C-E3AE-472C-B8E0-0A19D89EEAA9}" name="Column5" headerRowDxfId="95" dataDxfId="94" headerRowCellStyle="Comma 131" dataCellStyle="Comma 156"/>
    <tableColumn id="6" xr3:uid="{A2E9A875-1643-47C3-8010-D38F24E93191}" name="Column6" headerRowDxfId="93" dataDxfId="92" headerRowCellStyle="Comma" dataCellStyle="Comma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DDBA30F-C693-48DB-A9BE-14D7C20B5969}" name="Table4517269" displayName="Table4517269" ref="A52:F294" headerRowCount="0" totalsRowCount="1" headerRowDxfId="91" dataDxfId="90" totalsRowDxfId="88" tableBorderDxfId="89">
  <tableColumns count="6">
    <tableColumn id="1" xr3:uid="{59C4F43B-6D52-4847-ADE4-0EDEE5A5C2B3}" name="Column1" headerRowDxfId="87" dataDxfId="86" totalsRowDxfId="85"/>
    <tableColumn id="2" xr3:uid="{4CBE6A36-6F71-44FF-84A8-64E5127D62D0}" name="Column2" totalsRowFunction="custom" headerRowDxfId="84" dataDxfId="83" totalsRowDxfId="82" headerRowCellStyle="Comma 131" dataCellStyle="Comma">
      <totalsRowFormula>SUM(B52:B293)</totalsRowFormula>
    </tableColumn>
    <tableColumn id="3" xr3:uid="{EED56315-C2D6-43DD-B12B-23576BF99A21}" name="Column3" totalsRowFunction="custom" headerRowDxfId="81" dataDxfId="80" totalsRowDxfId="79" headerRowCellStyle="Comma" dataCellStyle="Comma">
      <calculatedColumnFormula>(B52/$B$294)*100</calculatedColumnFormula>
      <totalsRowFormula>SUM(C52:C293)</totalsRowFormula>
    </tableColumn>
    <tableColumn id="4" xr3:uid="{AA078D42-ADA5-4CE1-B140-54C37E58C552}" name="Column4" headerRowDxfId="78" dataDxfId="77" totalsRowDxfId="76"/>
    <tableColumn id="5" xr3:uid="{7B4B35AB-E402-4914-80D5-A34ED3B6B6C7}" name="Column5" totalsRowFunction="custom" headerRowDxfId="75" dataDxfId="74" totalsRowDxfId="73" headerRowCellStyle="Comma 131" dataCellStyle="Comma">
      <totalsRowFormula>SUM(E52:E293)</totalsRowFormula>
    </tableColumn>
    <tableColumn id="6" xr3:uid="{81C8EB87-6996-4D35-B57B-2A0819CB857C}" name="Column6" totalsRowFunction="custom" headerRowDxfId="72" dataDxfId="71" totalsRowDxfId="70" headerRowCellStyle="Comma" dataCellStyle="Comma">
      <calculatedColumnFormula>(E52/$E$294)*100</calculatedColumnFormula>
      <totalsRowFormula>SUM(F52:F293)</totalsRowFormula>
    </tableColumn>
  </tableColumns>
  <tableStyleInfo name="TableStyleLight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92FF527-0D25-412E-BE9F-E59DC4DAFCE5}" name="Table41" displayName="Table41" ref="G6:U24" headerRowCount="0" totalsRowShown="0" headerRowDxfId="69" dataDxfId="68" tableBorderDxfId="67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66" dataDxfId="65"/>
    <tableColumn id="2" xr3:uid="{25CB535C-FF1E-45E8-B631-D590B01E6694}" name="Column2" headerRowDxfId="64" dataDxfId="63" headerRowCellStyle="Comma" dataCellStyle="Comma"/>
    <tableColumn id="3" xr3:uid="{A42F55FC-CF02-4CD0-85FF-C88272F3B4A0}" name="Column3" headerRowDxfId="62" dataDxfId="61" headerRowCellStyle="Comma" dataCellStyle="Comma"/>
    <tableColumn id="4" xr3:uid="{54C3EB61-D76A-450F-BE9B-02774CEA5C69}" name="Column4" headerRowDxfId="60" dataDxfId="59" headerRowCellStyle="Comma" dataCellStyle="Comma"/>
    <tableColumn id="5" xr3:uid="{4493E70D-72C4-498F-8D6F-43183B62A803}" name="Column5" headerRowDxfId="58" dataDxfId="57" headerRowCellStyle="Comma" dataCellStyle="Comma"/>
    <tableColumn id="6" xr3:uid="{A3738FAA-606E-41E3-8511-028E1A1BF643}" name="Column6" headerRowDxfId="56" dataDxfId="55" headerRowCellStyle="Comma" dataCellStyle="Comma"/>
    <tableColumn id="7" xr3:uid="{89A0158B-EAD4-46EE-A920-31A6D92E1A05}" name="Column7" headerRowDxfId="54" dataDxfId="53" headerRowCellStyle="Comma" dataCellStyle="Comma"/>
    <tableColumn id="8" xr3:uid="{0559C84D-87FB-43B0-8C94-C9866C0E77B2}" name="Column8" headerRowDxfId="52" dataDxfId="51" headerRowCellStyle="Comma" dataCellStyle="Comma"/>
    <tableColumn id="9" xr3:uid="{D9FDE8BE-BC25-4BD5-9D1F-C31A61DD1064}" name="Column9" headerRowDxfId="50" dataDxfId="49" headerRowCellStyle="Comma" dataCellStyle="Comma"/>
    <tableColumn id="10" xr3:uid="{0E19C073-1A4F-4D32-9BAD-88B1D85DB1AC}" name="Column10" headerRowDxfId="48" dataDxfId="47" headerRowCellStyle="Comma" dataCellStyle="Comma"/>
    <tableColumn id="11" xr3:uid="{D90CCFFD-533F-41A5-ACE7-FFA70BA247A2}" name="Column11" headerRowDxfId="46" dataDxfId="45" headerRowCellStyle="Comma" dataCellStyle="Comma"/>
    <tableColumn id="12" xr3:uid="{442F3020-44DA-49F9-876B-7E4C93EB848C}" name="Column12" headerRowDxfId="44" dataDxfId="43" headerRowCellStyle="Comma" dataCellStyle="Comma"/>
    <tableColumn id="13" xr3:uid="{84005F93-C028-4C84-AD9B-EC35C9779A0F}" name="Column13" headerRowDxfId="42" dataDxfId="41" headerRowCellStyle="Comma" dataCellStyle="Comma"/>
    <tableColumn id="14" xr3:uid="{B796CE8D-7FBE-49AF-B30A-BF1C8379A110}" name="Column14" headerRowDxfId="40" dataDxfId="39" headerRowCellStyle="Comma" dataCellStyle="Comma"/>
    <tableColumn id="15" xr3:uid="{D99AC484-2A2C-4325-B0A6-96F4E6191F9C}" name="Column15" headerRowDxfId="38" dataDxfId="37" headerRowCellStyle="Comma" dataCellStyle="Comma"/>
  </tableColumns>
  <tableStyleInfo name="TableStyleLight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8E4B26B-E274-4C6D-A0B9-F2F8861639DF}" name="Table464413" displayName="Table464413" ref="B4:E17" headerRowCount="0" totalsRowShown="0" headerRowDxfId="36" dataDxfId="35" tableBorderDxfId="34">
  <tableColumns count="4">
    <tableColumn id="1" xr3:uid="{029D07D0-2F96-49C9-A45A-3D78D15D59C1}" name="Column1" headerRowDxfId="33" dataDxfId="32" totalsRowDxfId="31" headerRowCellStyle="Comma" dataCellStyle="Comma" totalsRowCellStyle="Comma"/>
    <tableColumn id="2" xr3:uid="{9BA76139-E252-4662-9765-A3D2CFB0BEB6}" name="Column2" headerRowDxfId="30" dataDxfId="29" totalsRowDxfId="28"/>
    <tableColumn id="3" xr3:uid="{D0B33CA3-7C62-4346-A4B2-075ACB07A2E4}" name="Column3" headerRowDxfId="27" dataDxfId="26" totalsRowDxfId="25"/>
    <tableColumn id="4" xr3:uid="{60DD782C-D264-4171-A2EC-BECDF8EEBAB2}" name="Column4" headerRowDxfId="24" dataDxfId="23" totalsRowDxfId="22" headerRowCellStyle="Comma" dataCellStyle="Comma" totalsRowCellStyle="Comma"/>
  </tableColumns>
  <tableStyleInfo name="TableStyleLight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FE194F9-C5E3-427E-AF59-5DD6D9DCA1CB}" name="Table505473" displayName="Table505473" ref="A4:F18" headerRowCount="0" totalsRowShown="0" headerRowDxfId="21" dataDxfId="20" totalsRowDxfId="18" tableBorderDxfId="19">
  <tableColumns count="6">
    <tableColumn id="1" xr3:uid="{00000000-0010-0000-2000-000001000000}" name="Column1" headerRowDxfId="17" dataDxfId="16" totalsRowDxfId="15"/>
    <tableColumn id="3" xr3:uid="{00000000-0010-0000-2000-000003000000}" name="Column3" headerRowDxfId="14" dataDxfId="13" dataCellStyle="Comma"/>
    <tableColumn id="4" xr3:uid="{00000000-0010-0000-2000-000004000000}" name="Column4" headerRowDxfId="12" dataDxfId="11" dataCellStyle="Comma"/>
    <tableColumn id="7" xr3:uid="{2F040262-06C4-44C8-93F5-B11989C0B5CF}" name="Column5" headerRowDxfId="10" dataDxfId="9" dataCellStyle="Comma"/>
    <tableColumn id="5" xr3:uid="{E2EB4D29-A117-4D99-8B9C-D191B120D97D}" name="Column2" headerRowDxfId="8" dataDxfId="7" dataCellStyle="Comma"/>
    <tableColumn id="6" xr3:uid="{EE81CB2C-1F99-4794-A12B-4E8CB37749C3}" name="Column6" headerRowDxfId="6" dataDxfId="5" totalsRowDxf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44D0BCC-A293-428C-A66A-C9F5EE8DE51C}" name="Table10" displayName="Table10" ref="A4:H14" headerRowCount="0" totalsRowShown="0" headerRowDxfId="726" dataDxfId="725" tableBorderDxfId="724" headerRowCellStyle="Comma" dataCellStyle="Comma">
  <tableColumns count="8">
    <tableColumn id="1" xr3:uid="{091070EB-DBFD-459D-8485-378596C5ED50}" name="Column1" headerRowDxfId="723" dataDxfId="722" dataCellStyle="Comma"/>
    <tableColumn id="2" xr3:uid="{4F58A2FE-8415-48CA-9D80-742C2C0F586D}" name="Column2" headerRowDxfId="721" dataDxfId="720" headerRowCellStyle="Comma 118" dataCellStyle="Comma"/>
    <tableColumn id="3" xr3:uid="{CFFCD062-1275-43B8-AFA6-BD1799C16CE9}" name="Column3" headerRowDxfId="719" dataDxfId="718" headerRowCellStyle="Comma" dataCellStyle="Comma"/>
    <tableColumn id="4" xr3:uid="{7CED60BB-9488-43BD-9340-A24BF2B52289}" name="Column4" headerRowDxfId="717" dataDxfId="716" headerRowCellStyle="Comma 118" dataCellStyle="Comma"/>
    <tableColumn id="5" xr3:uid="{9465CC20-CE61-4353-A684-79AA5A59C98A}" name="Column5" headerRowDxfId="715" dataDxfId="714" headerRowCellStyle="Comma" dataCellStyle="Comma"/>
    <tableColumn id="6" xr3:uid="{BD91CE31-EB51-4E47-B356-37E57B746380}" name="Column6" headerRowDxfId="713" dataDxfId="712" headerRowCellStyle="Comma 118" dataCellStyle="Comma"/>
    <tableColumn id="7" xr3:uid="{140FD43F-59E0-4B15-90E2-1D827B0C0E03}" name="Column7" headerRowDxfId="711" dataDxfId="710" headerRowCellStyle="Comma" dataCellStyle="Comma"/>
    <tableColumn id="8" xr3:uid="{192C0E34-886D-490D-80DE-BF36B2F0C1D9}" name="Column8" headerRowDxfId="709" dataDxfId="708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EFB9CF7-03EF-419A-B4BB-BA39FDAE947B}" name="Table11" displayName="Table11" ref="A4:H7" headerRowCount="0" totalsRowShown="0" headerRowDxfId="707" dataDxfId="706" tableBorderDxfId="705" headerRowCellStyle="Comma 118" dataCellStyle="Comma">
  <tableColumns count="8">
    <tableColumn id="1" xr3:uid="{54981B17-E646-41A3-A908-038EA636018D}" name="Column1" headerRowDxfId="704" dataDxfId="703"/>
    <tableColumn id="2" xr3:uid="{20856DC0-0104-49E8-A525-8D76D55BCC73}" name="Column2" headerRowDxfId="702" dataDxfId="701" headerRowCellStyle="Comma 118" dataCellStyle="Comma 118"/>
    <tableColumn id="3" xr3:uid="{CA74A0D4-71E9-4240-9E76-3F21240F43A0}" name="Column3" headerRowDxfId="700" dataDxfId="699" headerRowCellStyle="Comma" dataCellStyle="Comma"/>
    <tableColumn id="4" xr3:uid="{07AE79CA-EBDB-4D43-8A54-32439B223808}" name="Column4" headerRowDxfId="698" dataDxfId="697" headerRowCellStyle="Comma 118" dataCellStyle="Comma 118"/>
    <tableColumn id="5" xr3:uid="{1DE8115C-158B-473C-A4F7-CCA4D52C86D3}" name="Column5" headerRowDxfId="696" dataDxfId="695" headerRowCellStyle="Comma" dataCellStyle="Comma"/>
    <tableColumn id="6" xr3:uid="{4111C080-44FE-4B84-990E-CB023A14CCA3}" name="Column6" headerRowDxfId="694" dataDxfId="693" headerRowCellStyle="Comma 118" dataCellStyle="Comma 118"/>
    <tableColumn id="7" xr3:uid="{532A2172-B8E6-4384-A946-BE27B8C07B1D}" name="Column7" headerRowDxfId="692" dataDxfId="691" headerRowCellStyle="Comma" dataCellStyle="Comma"/>
    <tableColumn id="8" xr3:uid="{66C1AF27-71C0-4BDC-A628-A56A161A4EC8}" name="Column8" headerRowDxfId="690" dataDxfId="689" headerRowCellStyle="Comma" dataCellStyle="Comma">
      <calculatedColumnFormula>Table11[[#This Row],[Column6]]-Table11[[#This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03F9373-B679-4D93-A2BB-29C3867B131A}" name="Table1216" displayName="Table1216" ref="A4:H14" headerRowCount="0" totalsRowShown="0" headerRowDxfId="688" dataDxfId="687" tableBorderDxfId="686" headerRowCellStyle="Comma" dataCellStyle="Comma">
  <tableColumns count="8">
    <tableColumn id="1" xr3:uid="{ABE552D9-D54D-465D-8BDC-44F13314C219}" name="Column1" headerRowDxfId="685" dataDxfId="684"/>
    <tableColumn id="2" xr3:uid="{CD60F222-43D9-4BB8-A9BB-C3AFFC89AA2B}" name="Column2" headerRowDxfId="683" dataDxfId="682" headerRowCellStyle="Comma 118" dataCellStyle="Comma 118"/>
    <tableColumn id="3" xr3:uid="{A2173AFB-60AC-425A-B9A3-498D30313150}" name="Column3" headerRowDxfId="681" dataDxfId="680" headerRowCellStyle="Comma" dataCellStyle="Comma"/>
    <tableColumn id="4" xr3:uid="{2109C5CA-378D-4975-A080-E1C5E0F846AA}" name="Column4" headerRowDxfId="679" dataDxfId="678" headerRowCellStyle="Comma 118" dataCellStyle="Comma 118"/>
    <tableColumn id="5" xr3:uid="{A9DE474E-2109-4D82-BCC5-44017D5986EF}" name="Column5" headerRowDxfId="677" dataDxfId="676" headerRowCellStyle="Comma" dataCellStyle="Comma"/>
    <tableColumn id="6" xr3:uid="{3ED8EAAA-BB5B-46B3-B583-88694093A771}" name="Column6" headerRowDxfId="675" dataDxfId="674" headerRowCellStyle="Comma 118" dataCellStyle="Comma 118"/>
    <tableColumn id="7" xr3:uid="{7D510EFF-76B0-4539-8FC0-266CE03149AE}" name="Column7" headerRowDxfId="673" dataDxfId="672" headerRowCellStyle="Comma" dataCellStyle="Comma"/>
    <tableColumn id="8" xr3:uid="{DC346DBF-B959-437A-B53E-952847B13A02}" name="Column8" headerRowDxfId="671" dataDxfId="670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2670E0F-E462-47F2-BC5F-BAD2A3243790}" name="Table648" displayName="Table648" ref="C2:D6" headerRowCount="0" totalsRowShown="0" headerRowDxfId="669" dataDxfId="668" tableBorderDxfId="667">
  <tableColumns count="2">
    <tableColumn id="1" xr3:uid="{D5BFBBD9-72A7-412E-BC98-30F8C33F1555}" name="Column1" headerRowDxfId="666" dataDxfId="665"/>
    <tableColumn id="2" xr3:uid="{542EA122-DD85-488F-9D88-645F404808BE}" name="Column2" headerRowDxfId="664" dataDxfId="663" headerRow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A209625-7C94-4602-8953-E6EFE1B77A3E}" name="Table949" displayName="Table949" ref="E2:F5" headerRowCount="0" totalsRowShown="0" headerRowDxfId="662" dataDxfId="661" tableBorderDxfId="660">
  <tableColumns count="2">
    <tableColumn id="1" xr3:uid="{802493D0-C486-477C-8279-E7E2BCAC96BA}" name="Column1" headerRowDxfId="659" dataDxfId="658"/>
    <tableColumn id="2" xr3:uid="{1CB5CE3B-9612-45E0-8169-49BFE906E00D}" name="Column2" headerRowDxfId="657" dataDxfId="656" headerRow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40.xml"/><Relationship Id="rId4" Type="http://schemas.openxmlformats.org/officeDocument/2006/relationships/table" Target="../tables/table3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7"/>
  <sheetViews>
    <sheetView showGridLines="0" tabSelected="1" zoomScaleNormal="100" workbookViewId="0"/>
  </sheetViews>
  <sheetFormatPr defaultColWidth="8.81640625" defaultRowHeight="14" x14ac:dyDescent="0.3"/>
  <cols>
    <col min="1" max="1" width="44.81640625" style="57" bestFit="1" customWidth="1"/>
    <col min="2" max="2" width="12.1796875" style="22" customWidth="1"/>
    <col min="3" max="7" width="8.81640625" style="22"/>
    <col min="8" max="8" width="20.1796875" style="22" customWidth="1"/>
    <col min="9" max="16384" width="8.81640625" style="22"/>
  </cols>
  <sheetData>
    <row r="1" spans="1:8" ht="22.5" customHeight="1" x14ac:dyDescent="0.3">
      <c r="A1" s="56" t="s">
        <v>242</v>
      </c>
      <c r="B1" s="23"/>
      <c r="C1" s="23"/>
      <c r="D1" s="23"/>
      <c r="E1" s="23"/>
      <c r="F1" s="23"/>
      <c r="G1" s="521"/>
      <c r="H1" s="521"/>
    </row>
    <row r="2" spans="1:8" x14ac:dyDescent="0.3">
      <c r="A2" s="28"/>
    </row>
    <row r="3" spans="1:8" x14ac:dyDescent="0.3">
      <c r="A3" s="27" t="s">
        <v>1017</v>
      </c>
      <c r="G3" s="24"/>
    </row>
    <row r="4" spans="1:8" x14ac:dyDescent="0.3">
      <c r="A4" s="27" t="s">
        <v>328</v>
      </c>
      <c r="G4" s="24"/>
    </row>
    <row r="5" spans="1:8" x14ac:dyDescent="0.3">
      <c r="A5" s="27" t="s">
        <v>329</v>
      </c>
      <c r="G5" s="24"/>
    </row>
    <row r="6" spans="1:8" x14ac:dyDescent="0.3">
      <c r="A6" s="28" t="s">
        <v>291</v>
      </c>
      <c r="G6" s="24"/>
    </row>
    <row r="7" spans="1:8" x14ac:dyDescent="0.3">
      <c r="A7" s="28" t="s">
        <v>292</v>
      </c>
      <c r="G7" s="24"/>
    </row>
    <row r="8" spans="1:8" x14ac:dyDescent="0.3">
      <c r="A8" s="28" t="s">
        <v>293</v>
      </c>
      <c r="G8" s="24"/>
    </row>
    <row r="9" spans="1:8" x14ac:dyDescent="0.3">
      <c r="A9" s="28" t="s">
        <v>313</v>
      </c>
      <c r="G9" s="24"/>
    </row>
    <row r="10" spans="1:8" x14ac:dyDescent="0.3">
      <c r="A10" s="28" t="s">
        <v>314</v>
      </c>
      <c r="G10" s="24"/>
    </row>
    <row r="11" spans="1:8" x14ac:dyDescent="0.3">
      <c r="A11" s="28" t="s">
        <v>300</v>
      </c>
      <c r="G11" s="24"/>
    </row>
    <row r="12" spans="1:8" x14ac:dyDescent="0.3">
      <c r="A12" s="28" t="s">
        <v>301</v>
      </c>
      <c r="G12" s="24"/>
    </row>
    <row r="13" spans="1:8" x14ac:dyDescent="0.3">
      <c r="A13" s="28" t="s">
        <v>302</v>
      </c>
      <c r="G13" s="24"/>
    </row>
    <row r="14" spans="1:8" x14ac:dyDescent="0.3">
      <c r="A14" s="28" t="s">
        <v>303</v>
      </c>
      <c r="G14" s="24"/>
    </row>
    <row r="15" spans="1:8" x14ac:dyDescent="0.3">
      <c r="A15" s="28" t="s">
        <v>304</v>
      </c>
      <c r="G15" s="24"/>
    </row>
    <row r="16" spans="1:8" x14ac:dyDescent="0.3">
      <c r="A16" s="28" t="s">
        <v>305</v>
      </c>
      <c r="G16" s="24"/>
    </row>
    <row r="17" spans="1:1" x14ac:dyDescent="0.3">
      <c r="A17" s="28" t="s">
        <v>306</v>
      </c>
    </row>
    <row r="18" spans="1:1" x14ac:dyDescent="0.3">
      <c r="A18" s="28" t="s">
        <v>307</v>
      </c>
    </row>
    <row r="19" spans="1:1" x14ac:dyDescent="0.3">
      <c r="A19" s="28" t="s">
        <v>308</v>
      </c>
    </row>
    <row r="20" spans="1:1" x14ac:dyDescent="0.3">
      <c r="A20" s="28" t="s">
        <v>309</v>
      </c>
    </row>
    <row r="21" spans="1:1" x14ac:dyDescent="0.3">
      <c r="A21" s="28" t="s">
        <v>310</v>
      </c>
    </row>
    <row r="22" spans="1:1" x14ac:dyDescent="0.3">
      <c r="A22" s="28" t="s">
        <v>316</v>
      </c>
    </row>
    <row r="23" spans="1:1" x14ac:dyDescent="0.3">
      <c r="A23" s="27" t="s">
        <v>317</v>
      </c>
    </row>
    <row r="24" spans="1:1" x14ac:dyDescent="0.3">
      <c r="A24" s="27" t="s">
        <v>318</v>
      </c>
    </row>
    <row r="25" spans="1:1" x14ac:dyDescent="0.3">
      <c r="A25" s="27" t="s">
        <v>319</v>
      </c>
    </row>
    <row r="26" spans="1:1" x14ac:dyDescent="0.3">
      <c r="A26" s="27" t="s">
        <v>320</v>
      </c>
    </row>
    <row r="27" spans="1:1" x14ac:dyDescent="0.3">
      <c r="A27" s="27" t="s">
        <v>321</v>
      </c>
    </row>
    <row r="28" spans="1:1" x14ac:dyDescent="0.3">
      <c r="A28" s="27" t="s">
        <v>322</v>
      </c>
    </row>
    <row r="29" spans="1:1" x14ac:dyDescent="0.3">
      <c r="A29" s="27" t="s">
        <v>330</v>
      </c>
    </row>
    <row r="30" spans="1:1" x14ac:dyDescent="0.3">
      <c r="A30" s="40" t="s">
        <v>331</v>
      </c>
    </row>
    <row r="31" spans="1:1" x14ac:dyDescent="0.3">
      <c r="A31" s="27" t="s">
        <v>332</v>
      </c>
    </row>
    <row r="32" spans="1:1" s="43" customFormat="1" ht="14.5" x14ac:dyDescent="0.35">
      <c r="A32" s="27" t="s">
        <v>936</v>
      </c>
    </row>
    <row r="33" spans="1:4" x14ac:dyDescent="0.3">
      <c r="A33" s="40" t="s">
        <v>323</v>
      </c>
    </row>
    <row r="34" spans="1:4" x14ac:dyDescent="0.3">
      <c r="A34" s="40" t="s">
        <v>324</v>
      </c>
    </row>
    <row r="35" spans="1:4" x14ac:dyDescent="0.3">
      <c r="A35" s="40" t="s">
        <v>325</v>
      </c>
    </row>
    <row r="36" spans="1:4" x14ac:dyDescent="0.3">
      <c r="A36" s="40" t="s">
        <v>326</v>
      </c>
    </row>
    <row r="37" spans="1:4" x14ac:dyDescent="0.3">
      <c r="A37" s="27" t="s">
        <v>334</v>
      </c>
      <c r="B37" s="27"/>
    </row>
    <row r="38" spans="1:4" x14ac:dyDescent="0.3">
      <c r="B38" s="27"/>
    </row>
    <row r="39" spans="1:4" x14ac:dyDescent="0.3">
      <c r="A39" s="40"/>
      <c r="B39" s="40"/>
    </row>
    <row r="40" spans="1:4" ht="14.5" customHeight="1" x14ac:dyDescent="0.3">
      <c r="A40" s="27"/>
      <c r="B40" s="27"/>
      <c r="D40" s="23"/>
    </row>
    <row r="41" spans="1:4" ht="14.5" customHeight="1" x14ac:dyDescent="0.3">
      <c r="A41" s="27"/>
      <c r="B41" s="27"/>
      <c r="D41" s="23"/>
    </row>
    <row r="42" spans="1:4" ht="14.5" customHeight="1" x14ac:dyDescent="0.3">
      <c r="A42" s="40"/>
      <c r="D42" s="23"/>
    </row>
    <row r="43" spans="1:4" ht="14.5" customHeight="1" x14ac:dyDescent="0.3">
      <c r="A43" s="27"/>
      <c r="D43" s="23"/>
    </row>
    <row r="44" spans="1:4" x14ac:dyDescent="0.3">
      <c r="A44" s="27"/>
    </row>
    <row r="45" spans="1:4" x14ac:dyDescent="0.3">
      <c r="A45" s="27"/>
    </row>
    <row r="46" spans="1:4" x14ac:dyDescent="0.3">
      <c r="A46" s="27"/>
    </row>
    <row r="47" spans="1:4" x14ac:dyDescent="0.3">
      <c r="A47" s="27"/>
    </row>
  </sheetData>
  <mergeCells count="1">
    <mergeCell ref="G1:H1"/>
  </mergeCells>
  <hyperlinks>
    <hyperlink ref="A3" location="'Tab 1 Aug 2024 revisions'!A1" display="Table 1: August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N35"/>
  <sheetViews>
    <sheetView zoomScaleNormal="100" workbookViewId="0"/>
  </sheetViews>
  <sheetFormatPr defaultColWidth="9.1796875" defaultRowHeight="12.5" x14ac:dyDescent="0.25"/>
  <cols>
    <col min="1" max="1" width="10.54296875" style="1" customWidth="1"/>
    <col min="2" max="2" width="6.36328125" style="1" bestFit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13.81640625" style="1" bestFit="1" customWidth="1"/>
    <col min="8" max="8" width="17.453125" style="1" bestFit="1" customWidth="1"/>
    <col min="9" max="9" width="16.453125" style="1" bestFit="1" customWidth="1"/>
    <col min="10" max="10" width="17.453125" style="1" bestFit="1" customWidth="1"/>
    <col min="11" max="16384" width="9.1796875" style="1"/>
  </cols>
  <sheetData>
    <row r="1" spans="1:14" ht="14.5" customHeight="1" x14ac:dyDescent="0.3">
      <c r="A1" s="3" t="s">
        <v>953</v>
      </c>
      <c r="B1" s="3"/>
      <c r="C1" s="3"/>
      <c r="D1" s="3"/>
      <c r="E1" s="3"/>
      <c r="H1" s="271" t="s">
        <v>239</v>
      </c>
      <c r="I1" s="3"/>
      <c r="J1" s="3"/>
      <c r="K1" s="3"/>
      <c r="L1" s="3"/>
      <c r="M1" s="3"/>
      <c r="N1" s="3"/>
    </row>
    <row r="2" spans="1:14" ht="13" x14ac:dyDescent="0.3">
      <c r="A2" s="270"/>
      <c r="B2" s="46" t="s">
        <v>220</v>
      </c>
      <c r="C2" s="270" t="s">
        <v>290</v>
      </c>
      <c r="D2" s="270" t="s">
        <v>289</v>
      </c>
      <c r="E2" s="270" t="s">
        <v>791</v>
      </c>
      <c r="F2" s="26" t="s">
        <v>790</v>
      </c>
      <c r="G2" s="11"/>
    </row>
    <row r="3" spans="1:14" ht="12.65" customHeight="1" x14ac:dyDescent="0.25">
      <c r="A3" s="548">
        <v>2024</v>
      </c>
      <c r="B3" s="21" t="s">
        <v>231</v>
      </c>
      <c r="C3" s="47">
        <v>11846.23692864998</v>
      </c>
      <c r="D3" s="47">
        <v>17308.104365435949</v>
      </c>
      <c r="E3" s="269">
        <f>-'Tab9 Trade Balance'!$D3</f>
        <v>-17308.104365435949</v>
      </c>
      <c r="F3" s="47">
        <f>'Tab9 Trade Balance'!$C3-'Tab9 Trade Balance'!$D3</f>
        <v>-5461.8674367859694</v>
      </c>
      <c r="G3" s="9"/>
    </row>
    <row r="4" spans="1:14" ht="12.65" customHeight="1" x14ac:dyDescent="0.25">
      <c r="A4" s="549"/>
      <c r="B4" s="21" t="s">
        <v>232</v>
      </c>
      <c r="C4" s="48">
        <v>12446.780113059986</v>
      </c>
      <c r="D4" s="48">
        <v>12149.903035639969</v>
      </c>
      <c r="E4" s="59">
        <f>-'Tab9 Trade Balance'!$D4</f>
        <v>-12149.903035639969</v>
      </c>
      <c r="F4" s="48">
        <f>'Tab9 Trade Balance'!$C4-'Tab9 Trade Balance'!$D4</f>
        <v>296.87707742001658</v>
      </c>
      <c r="G4" s="9"/>
    </row>
    <row r="5" spans="1:14" ht="12.65" customHeight="1" x14ac:dyDescent="0.25">
      <c r="A5" s="549">
        <v>2025</v>
      </c>
      <c r="B5" s="21" t="s">
        <v>221</v>
      </c>
      <c r="C5" s="48">
        <v>10139.539847369992</v>
      </c>
      <c r="D5" s="48">
        <v>13084.018780820019</v>
      </c>
      <c r="E5" s="59">
        <f>-'Tab9 Trade Balance'!$D5</f>
        <v>-13084.018780820019</v>
      </c>
      <c r="F5" s="48">
        <f>'Tab9 Trade Balance'!$C5-'Tab9 Trade Balance'!$D5</f>
        <v>-2944.4789334500274</v>
      </c>
      <c r="G5" s="9"/>
    </row>
    <row r="6" spans="1:14" ht="12.65" customHeight="1" x14ac:dyDescent="0.25">
      <c r="A6" s="549"/>
      <c r="B6" s="21" t="s">
        <v>222</v>
      </c>
      <c r="C6" s="48">
        <v>9681.6443227599975</v>
      </c>
      <c r="D6" s="48">
        <v>11755.017575339894</v>
      </c>
      <c r="E6" s="59">
        <f>-'Tab9 Trade Balance'!$D6</f>
        <v>-11755.017575339894</v>
      </c>
      <c r="F6" s="48">
        <f>'Tab9 Trade Balance'!$C6-'Tab9 Trade Balance'!$D6</f>
        <v>-2073.3732525798969</v>
      </c>
      <c r="G6" s="9"/>
    </row>
    <row r="7" spans="1:14" ht="12.65" customHeight="1" x14ac:dyDescent="0.25">
      <c r="A7" s="549"/>
      <c r="B7" s="21" t="s">
        <v>223</v>
      </c>
      <c r="C7" s="48">
        <v>10086.950392259991</v>
      </c>
      <c r="D7" s="48">
        <v>12394.525899302995</v>
      </c>
      <c r="E7" s="59">
        <f>-'Tab9 Trade Balance'!$D7</f>
        <v>-12394.525899302995</v>
      </c>
      <c r="F7" s="48">
        <f>'Tab9 Trade Balance'!$C7-'Tab9 Trade Balance'!$D7</f>
        <v>-2307.5755070430041</v>
      </c>
      <c r="G7" s="9"/>
    </row>
    <row r="8" spans="1:14" ht="12.65" customHeight="1" x14ac:dyDescent="0.25">
      <c r="A8" s="549"/>
      <c r="B8" s="21" t="s">
        <v>224</v>
      </c>
      <c r="C8" s="48">
        <v>10571.03059448999</v>
      </c>
      <c r="D8" s="48">
        <v>12708.824177229855</v>
      </c>
      <c r="E8" s="59">
        <f>-'Tab9 Trade Balance'!$D8</f>
        <v>-12708.824177229855</v>
      </c>
      <c r="F8" s="48">
        <f>'Tab9 Trade Balance'!$C8-'Tab9 Trade Balance'!$D8</f>
        <v>-2137.7935827398651</v>
      </c>
      <c r="G8" s="9"/>
    </row>
    <row r="9" spans="1:14" ht="12.65" customHeight="1" x14ac:dyDescent="0.25">
      <c r="A9" s="549"/>
      <c r="B9" s="21" t="s">
        <v>225</v>
      </c>
      <c r="C9" s="48">
        <v>11650.020788409985</v>
      </c>
      <c r="D9" s="48">
        <v>11535.876499581533</v>
      </c>
      <c r="E9" s="59">
        <f>-'Tab9 Trade Balance'!$D9</f>
        <v>-11535.876499581533</v>
      </c>
      <c r="F9" s="48">
        <f>'Tab9 Trade Balance'!$C9-'Tab9 Trade Balance'!$D9</f>
        <v>114.14428882845277</v>
      </c>
      <c r="G9" s="9"/>
    </row>
    <row r="10" spans="1:14" ht="12.65" customHeight="1" x14ac:dyDescent="0.25">
      <c r="A10" s="549"/>
      <c r="B10" s="21" t="s">
        <v>226</v>
      </c>
      <c r="C10" s="48">
        <v>11970.795074379994</v>
      </c>
      <c r="D10" s="48">
        <v>11301.789275339986</v>
      </c>
      <c r="E10" s="59">
        <f>-'Tab9 Trade Balance'!$D10</f>
        <v>-11301.789275339986</v>
      </c>
      <c r="F10" s="48">
        <f>'Tab9 Trade Balance'!$C10-'Tab9 Trade Balance'!$D10</f>
        <v>669.00579904000733</v>
      </c>
      <c r="G10" s="9"/>
    </row>
    <row r="11" spans="1:14" ht="12.65" customHeight="1" x14ac:dyDescent="0.25">
      <c r="A11" s="549"/>
      <c r="B11" s="21" t="s">
        <v>227</v>
      </c>
      <c r="C11" s="48">
        <v>12589.186209969985</v>
      </c>
      <c r="D11" s="48">
        <v>12569.744619459847</v>
      </c>
      <c r="E11" s="59">
        <f>-'Tab9 Trade Balance'!$D11</f>
        <v>-12569.744619459847</v>
      </c>
      <c r="F11" s="48">
        <f>'Tab9 Trade Balance'!$C11-'Tab9 Trade Balance'!$D11</f>
        <v>19.441590510137758</v>
      </c>
      <c r="G11" s="9"/>
    </row>
    <row r="12" spans="1:14" ht="12.65" customHeight="1" x14ac:dyDescent="0.25">
      <c r="A12" s="549"/>
      <c r="B12" s="21" t="s">
        <v>228</v>
      </c>
      <c r="C12" s="48">
        <v>7662.4064959199932</v>
      </c>
      <c r="D12" s="48">
        <v>12938.682378190895</v>
      </c>
      <c r="E12" s="59">
        <f>-'Tab9 Trade Balance'!$D12</f>
        <v>-12938.682378190895</v>
      </c>
      <c r="F12" s="48">
        <f>'Tab9 Trade Balance'!$C12-'Tab9 Trade Balance'!$D12</f>
        <v>-5276.275882270902</v>
      </c>
      <c r="G12" s="9"/>
    </row>
    <row r="13" spans="1:14" ht="12.65" customHeight="1" x14ac:dyDescent="0.25">
      <c r="A13" s="549"/>
      <c r="B13" s="21" t="s">
        <v>229</v>
      </c>
      <c r="C13" s="48">
        <v>7430.1593855499841</v>
      </c>
      <c r="D13" s="48">
        <v>10832.235265630052</v>
      </c>
      <c r="E13" s="59">
        <f>-'Tab9 Trade Balance'!$D13</f>
        <v>-10832.235265630052</v>
      </c>
      <c r="F13" s="48">
        <f>'Tab9 Trade Balance'!$C13-'Tab9 Trade Balance'!$D13</f>
        <v>-3402.0758800800677</v>
      </c>
      <c r="G13" s="9"/>
    </row>
    <row r="14" spans="1:14" ht="12.65" customHeight="1" x14ac:dyDescent="0.25">
      <c r="A14" s="549"/>
      <c r="B14" s="21" t="s">
        <v>230</v>
      </c>
      <c r="C14" s="48">
        <v>13195.615728059993</v>
      </c>
      <c r="D14" s="48">
        <v>16078.4852427201</v>
      </c>
      <c r="E14" s="59">
        <f>-'Tab9 Trade Balance'!$D14</f>
        <v>-16078.4852427201</v>
      </c>
      <c r="F14" s="48">
        <f>'Tab9 Trade Balance'!$C14-'Tab9 Trade Balance'!$D14</f>
        <v>-2882.8695146601076</v>
      </c>
      <c r="G14" s="9"/>
      <c r="H14" s="8"/>
    </row>
    <row r="15" spans="1:14" ht="12.65" customHeight="1" x14ac:dyDescent="0.25">
      <c r="A15" s="550"/>
      <c r="B15" s="21" t="s">
        <v>231</v>
      </c>
      <c r="C15" s="49">
        <v>9968.3558629299787</v>
      </c>
      <c r="D15" s="49">
        <v>14412.248196370032</v>
      </c>
      <c r="E15" s="268">
        <f>-'Tab9 Trade Balance'!$D15</f>
        <v>-14412.248196370032</v>
      </c>
      <c r="F15" s="49">
        <f>'Tab9 Trade Balance'!$C15-'Tab9 Trade Balance'!$D15</f>
        <v>-4443.8923334400533</v>
      </c>
      <c r="G15" s="9"/>
      <c r="H15" s="8"/>
      <c r="I15" s="8"/>
    </row>
    <row r="16" spans="1:14" x14ac:dyDescent="0.25">
      <c r="D16" s="267"/>
      <c r="E16" s="267"/>
      <c r="F16" s="266"/>
      <c r="H16" s="8"/>
      <c r="I16" s="8"/>
    </row>
    <row r="17" spans="2:14" x14ac:dyDescent="0.25">
      <c r="C17" s="266"/>
      <c r="D17" s="266"/>
      <c r="E17" s="266"/>
      <c r="F17" s="266"/>
    </row>
    <row r="18" spans="2:14" x14ac:dyDescent="0.25">
      <c r="C18" s="266"/>
      <c r="D18" s="266"/>
      <c r="E18" s="266"/>
      <c r="F18" s="266"/>
    </row>
    <row r="19" spans="2:14" ht="13" x14ac:dyDescent="0.3">
      <c r="C19" s="8"/>
      <c r="D19" s="8"/>
      <c r="F19" s="9"/>
      <c r="H19" s="3"/>
      <c r="I19" s="3"/>
      <c r="J19" s="3"/>
      <c r="K19" s="3"/>
      <c r="L19" s="3"/>
      <c r="M19" s="3"/>
      <c r="N19" s="3"/>
    </row>
    <row r="20" spans="2:14" x14ac:dyDescent="0.25">
      <c r="C20" s="8"/>
      <c r="D20" s="8"/>
    </row>
    <row r="21" spans="2:14" x14ac:dyDescent="0.25">
      <c r="B21" s="15"/>
      <c r="C21" s="265"/>
      <c r="E21" s="8"/>
      <c r="G21" s="8"/>
      <c r="H21" s="8"/>
    </row>
    <row r="22" spans="2:14" x14ac:dyDescent="0.25">
      <c r="B22" s="15"/>
      <c r="C22" s="265"/>
      <c r="E22" s="8"/>
      <c r="G22" s="8"/>
      <c r="H22" s="8"/>
    </row>
    <row r="23" spans="2:14" x14ac:dyDescent="0.25">
      <c r="B23" s="15"/>
      <c r="C23" s="265"/>
      <c r="E23" s="8"/>
      <c r="I23" s="4"/>
      <c r="J23" s="4"/>
    </row>
    <row r="24" spans="2:14" x14ac:dyDescent="0.25">
      <c r="B24" s="15"/>
      <c r="C24" s="265"/>
      <c r="E24" s="8"/>
      <c r="F24" s="8"/>
      <c r="G24" s="4"/>
      <c r="H24" s="4"/>
    </row>
    <row r="25" spans="2:14" x14ac:dyDescent="0.25">
      <c r="E25" s="8"/>
      <c r="F25" s="8"/>
      <c r="G25" s="8"/>
    </row>
    <row r="26" spans="2:14" x14ac:dyDescent="0.25">
      <c r="E26" s="8"/>
      <c r="F26" s="8"/>
      <c r="G26" s="8"/>
    </row>
    <row r="27" spans="2:14" x14ac:dyDescent="0.25">
      <c r="E27" s="8"/>
      <c r="F27" s="8"/>
      <c r="G27" s="8"/>
    </row>
    <row r="28" spans="2:14" x14ac:dyDescent="0.25">
      <c r="E28" s="8"/>
      <c r="F28" s="8"/>
      <c r="G28" s="8"/>
    </row>
    <row r="29" spans="2:14" x14ac:dyDescent="0.25">
      <c r="E29" s="8"/>
      <c r="F29" s="8"/>
      <c r="G29" s="8"/>
    </row>
    <row r="30" spans="2:14" x14ac:dyDescent="0.25">
      <c r="E30" s="8"/>
      <c r="F30" s="8"/>
      <c r="G30" s="8"/>
    </row>
    <row r="31" spans="2:14" x14ac:dyDescent="0.25">
      <c r="E31" s="8"/>
      <c r="F31" s="8"/>
      <c r="G31" s="8"/>
    </row>
    <row r="32" spans="2:14" x14ac:dyDescent="0.25">
      <c r="E32" s="8"/>
      <c r="F32" s="8"/>
      <c r="G32" s="8"/>
    </row>
    <row r="33" spans="6:7" x14ac:dyDescent="0.25">
      <c r="F33" s="8"/>
      <c r="G33" s="8"/>
    </row>
    <row r="34" spans="6:7" x14ac:dyDescent="0.25">
      <c r="F34" s="8"/>
      <c r="G34" s="8"/>
    </row>
    <row r="35" spans="6:7" x14ac:dyDescent="0.25">
      <c r="G35" s="8"/>
    </row>
  </sheetData>
  <mergeCells count="2">
    <mergeCell ref="A3:A4"/>
    <mergeCell ref="A5:A15"/>
  </mergeCells>
  <phoneticPr fontId="4" type="noConversion"/>
  <hyperlinks>
    <hyperlink ref="H1" location="'Table of Content'!A1" display="Table of Content" xr:uid="{8E88BED9-DAFE-4DC7-A6FB-AE6461B5B34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78"/>
  <sheetViews>
    <sheetView zoomScaleNormal="100" workbookViewId="0">
      <selection activeCell="A178" sqref="A178:XFD178"/>
    </sheetView>
  </sheetViews>
  <sheetFormatPr defaultColWidth="8.81640625" defaultRowHeight="12.5" x14ac:dyDescent="0.25"/>
  <cols>
    <col min="1" max="1" width="34.1796875" style="20" customWidth="1"/>
    <col min="2" max="2" width="12.453125" style="20" bestFit="1" customWidth="1"/>
    <col min="3" max="3" width="16" style="20" customWidth="1"/>
    <col min="4" max="4" width="13.54296875" style="20" bestFit="1" customWidth="1"/>
    <col min="5" max="6" width="8.81640625" style="20"/>
    <col min="7" max="7" width="12.453125" style="20" customWidth="1"/>
    <col min="8" max="8" width="14.1796875" style="20" bestFit="1" customWidth="1"/>
    <col min="9" max="9" width="14.453125" style="20" bestFit="1" customWidth="1"/>
    <col min="10" max="10" width="15.1796875" style="20" bestFit="1" customWidth="1"/>
    <col min="11" max="16384" width="8.81640625" style="20"/>
  </cols>
  <sheetData>
    <row r="1" spans="1:13" ht="13" x14ac:dyDescent="0.3">
      <c r="A1" s="11" t="s">
        <v>954</v>
      </c>
      <c r="E1" s="11"/>
      <c r="F1" s="51" t="s">
        <v>239</v>
      </c>
      <c r="K1" s="11"/>
      <c r="L1" s="11"/>
      <c r="M1" s="11"/>
    </row>
    <row r="2" spans="1:13" ht="13" x14ac:dyDescent="0.3">
      <c r="A2" s="270" t="s">
        <v>244</v>
      </c>
      <c r="B2" s="270" t="s">
        <v>243</v>
      </c>
      <c r="C2" s="270" t="s">
        <v>219</v>
      </c>
      <c r="D2" s="26" t="s">
        <v>474</v>
      </c>
    </row>
    <row r="3" spans="1:13" x14ac:dyDescent="0.25">
      <c r="A3" s="58" t="s">
        <v>256</v>
      </c>
      <c r="B3" s="47">
        <v>1231.2867341200001</v>
      </c>
      <c r="C3" s="47">
        <v>85.089677129999913</v>
      </c>
      <c r="D3" s="190">
        <f>Table1637[[#This Row],[Column2]]-Table1637[[#This Row],[Column3]]</f>
        <v>1146.1970569900002</v>
      </c>
    </row>
    <row r="4" spans="1:13" x14ac:dyDescent="0.25">
      <c r="A4" s="21" t="s">
        <v>245</v>
      </c>
      <c r="B4" s="48">
        <v>951.96165632999941</v>
      </c>
      <c r="C4" s="48">
        <v>40.640590189999926</v>
      </c>
      <c r="D4" s="189">
        <f>Table1637[[#This Row],[Column2]]-Table1637[[#This Row],[Column3]]</f>
        <v>911.32106613999952</v>
      </c>
    </row>
    <row r="5" spans="1:13" x14ac:dyDescent="0.25">
      <c r="A5" s="21" t="s">
        <v>247</v>
      </c>
      <c r="B5" s="48">
        <v>1039.0293147999989</v>
      </c>
      <c r="C5" s="48">
        <v>465.31746880999998</v>
      </c>
      <c r="D5" s="189">
        <f>Table1637[[#This Row],[Column2]]-Table1637[[#This Row],[Column3]]</f>
        <v>573.71184598999889</v>
      </c>
    </row>
    <row r="6" spans="1:13" x14ac:dyDescent="0.25">
      <c r="A6" s="21" t="s">
        <v>248</v>
      </c>
      <c r="B6" s="48">
        <v>441.80428659999961</v>
      </c>
      <c r="C6" s="48">
        <v>112.72015902999973</v>
      </c>
      <c r="D6" s="189">
        <f>Table1637[[#This Row],[Column2]]-Table1637[[#This Row],[Column3]]</f>
        <v>329.08412756999985</v>
      </c>
    </row>
    <row r="7" spans="1:13" x14ac:dyDescent="0.25">
      <c r="A7" s="21" t="s">
        <v>266</v>
      </c>
      <c r="B7" s="48">
        <v>269.11141550000002</v>
      </c>
      <c r="C7" s="48">
        <v>13.494927559999955</v>
      </c>
      <c r="D7" s="189">
        <f>Table1637[[#This Row],[Column2]]-Table1637[[#This Row],[Column3]]</f>
        <v>255.61648794000007</v>
      </c>
    </row>
    <row r="8" spans="1:13" x14ac:dyDescent="0.25">
      <c r="A8" s="21" t="s">
        <v>890</v>
      </c>
      <c r="B8" s="48">
        <v>238.01039599999984</v>
      </c>
      <c r="C8" s="48">
        <v>105.26467574999971</v>
      </c>
      <c r="D8" s="189">
        <f>Table1637[[#This Row],[Column2]]-Table1637[[#This Row],[Column3]]</f>
        <v>132.74572025000015</v>
      </c>
    </row>
    <row r="9" spans="1:13" x14ac:dyDescent="0.25">
      <c r="A9" s="21" t="s">
        <v>251</v>
      </c>
      <c r="B9" s="48">
        <v>132.25203864999989</v>
      </c>
      <c r="C9" s="48">
        <v>24.361399569999957</v>
      </c>
      <c r="D9" s="189">
        <f>Table1637[[#This Row],[Column2]]-Table1637[[#This Row],[Column3]]</f>
        <v>107.89063907999993</v>
      </c>
    </row>
    <row r="10" spans="1:13" x14ac:dyDescent="0.25">
      <c r="A10" s="21" t="s">
        <v>236</v>
      </c>
      <c r="B10" s="48">
        <v>77.521735149999898</v>
      </c>
      <c r="C10" s="48"/>
      <c r="D10" s="189">
        <f>Table1637[[#This Row],[Column2]]-Table1637[[#This Row],[Column3]]</f>
        <v>77.521735149999898</v>
      </c>
    </row>
    <row r="11" spans="1:13" x14ac:dyDescent="0.25">
      <c r="A11" s="21" t="s">
        <v>889</v>
      </c>
      <c r="B11" s="48">
        <v>80.262048649999997</v>
      </c>
      <c r="C11" s="48">
        <v>10.995993009999987</v>
      </c>
      <c r="D11" s="189">
        <f>Table1637[[#This Row],[Column2]]-Table1637[[#This Row],[Column3]]</f>
        <v>69.266055640000005</v>
      </c>
    </row>
    <row r="12" spans="1:13" x14ac:dyDescent="0.25">
      <c r="A12" s="21" t="s">
        <v>327</v>
      </c>
      <c r="B12" s="48">
        <v>59.928897219999904</v>
      </c>
      <c r="C12" s="48"/>
      <c r="D12" s="189">
        <f>Table1637[[#This Row],[Column2]]-Table1637[[#This Row],[Column3]]</f>
        <v>59.928897219999904</v>
      </c>
    </row>
    <row r="13" spans="1:13" x14ac:dyDescent="0.25">
      <c r="A13" s="21" t="s">
        <v>258</v>
      </c>
      <c r="B13" s="48">
        <v>44.825112529999899</v>
      </c>
      <c r="C13" s="48">
        <v>1.9715293899999997</v>
      </c>
      <c r="D13" s="189">
        <f>Table1637[[#This Row],[Column2]]-Table1637[[#This Row],[Column3]]</f>
        <v>42.853583139999898</v>
      </c>
    </row>
    <row r="14" spans="1:13" x14ac:dyDescent="0.25">
      <c r="A14" s="21" t="s">
        <v>253</v>
      </c>
      <c r="B14" s="48">
        <v>45.709125449999867</v>
      </c>
      <c r="C14" s="48">
        <v>9.83848568999999</v>
      </c>
      <c r="D14" s="189">
        <f>Table1637[[#This Row],[Column2]]-Table1637[[#This Row],[Column3]]</f>
        <v>35.870639759999875</v>
      </c>
    </row>
    <row r="15" spans="1:13" x14ac:dyDescent="0.25">
      <c r="A15" s="21" t="s">
        <v>887</v>
      </c>
      <c r="B15" s="48">
        <v>99.66137556000001</v>
      </c>
      <c r="C15" s="48">
        <v>65.566887559999813</v>
      </c>
      <c r="D15" s="189">
        <f>Table1637[[#This Row],[Column2]]-Table1637[[#This Row],[Column3]]</f>
        <v>34.094488000000197</v>
      </c>
    </row>
    <row r="16" spans="1:13" x14ac:dyDescent="0.25">
      <c r="A16" s="21" t="s">
        <v>880</v>
      </c>
      <c r="B16" s="48">
        <v>23.979330979999993</v>
      </c>
      <c r="C16" s="48">
        <v>3.1973129999999898E-2</v>
      </c>
      <c r="D16" s="189">
        <f>Table1637[[#This Row],[Column2]]-Table1637[[#This Row],[Column3]]</f>
        <v>23.947357849999992</v>
      </c>
    </row>
    <row r="17" spans="1:4" x14ac:dyDescent="0.25">
      <c r="A17" s="21" t="s">
        <v>337</v>
      </c>
      <c r="B17" s="48">
        <v>143.11004010999994</v>
      </c>
      <c r="C17" s="48">
        <v>124.05213005999983</v>
      </c>
      <c r="D17" s="189">
        <f>Table1637[[#This Row],[Column2]]-Table1637[[#This Row],[Column3]]</f>
        <v>19.057910050000118</v>
      </c>
    </row>
    <row r="18" spans="1:4" x14ac:dyDescent="0.25">
      <c r="A18" s="21" t="s">
        <v>254</v>
      </c>
      <c r="B18" s="48">
        <v>41.484030579999946</v>
      </c>
      <c r="C18" s="48">
        <v>23.744561609999959</v>
      </c>
      <c r="D18" s="189">
        <f>Table1637[[#This Row],[Column2]]-Table1637[[#This Row],[Column3]]</f>
        <v>17.739468969999987</v>
      </c>
    </row>
    <row r="19" spans="1:4" x14ac:dyDescent="0.25">
      <c r="A19" s="21" t="s">
        <v>885</v>
      </c>
      <c r="B19" s="48">
        <v>11.380807959999997</v>
      </c>
      <c r="C19" s="48">
        <v>0.19925811000000002</v>
      </c>
      <c r="D19" s="189">
        <f>Table1637[[#This Row],[Column2]]-Table1637[[#This Row],[Column3]]</f>
        <v>11.181549849999996</v>
      </c>
    </row>
    <row r="20" spans="1:4" x14ac:dyDescent="0.25">
      <c r="A20" s="21" t="s">
        <v>261</v>
      </c>
      <c r="B20" s="48">
        <v>14.649466819999992</v>
      </c>
      <c r="C20" s="48">
        <v>3.6102823299999987</v>
      </c>
      <c r="D20" s="189">
        <f>Table1637[[#This Row],[Column2]]-Table1637[[#This Row],[Column3]]</f>
        <v>11.039184489999993</v>
      </c>
    </row>
    <row r="21" spans="1:4" x14ac:dyDescent="0.25">
      <c r="A21" s="21" t="s">
        <v>263</v>
      </c>
      <c r="B21" s="48">
        <v>13.108677689999986</v>
      </c>
      <c r="C21" s="48">
        <v>2.9159661799999972</v>
      </c>
      <c r="D21" s="189">
        <f>Table1637[[#This Row],[Column2]]-Table1637[[#This Row],[Column3]]</f>
        <v>10.192711509999988</v>
      </c>
    </row>
    <row r="22" spans="1:4" x14ac:dyDescent="0.25">
      <c r="A22" s="21" t="s">
        <v>264</v>
      </c>
      <c r="B22" s="48">
        <v>17.324127349999969</v>
      </c>
      <c r="C22" s="48">
        <v>7.3297825599999804</v>
      </c>
      <c r="D22" s="189">
        <f>Table1637[[#This Row],[Column2]]-Table1637[[#This Row],[Column3]]</f>
        <v>9.9943447899999889</v>
      </c>
    </row>
    <row r="23" spans="1:4" x14ac:dyDescent="0.25">
      <c r="A23" s="21" t="s">
        <v>271</v>
      </c>
      <c r="B23" s="48">
        <v>11.16936192999998</v>
      </c>
      <c r="C23" s="48">
        <v>3.0435472799999936</v>
      </c>
      <c r="D23" s="189">
        <f>Table1637[[#This Row],[Column2]]-Table1637[[#This Row],[Column3]]</f>
        <v>8.1258146499999864</v>
      </c>
    </row>
    <row r="24" spans="1:4" x14ac:dyDescent="0.25">
      <c r="A24" s="21" t="s">
        <v>250</v>
      </c>
      <c r="B24" s="48">
        <v>304.94023522999913</v>
      </c>
      <c r="C24" s="48">
        <v>296.98040157999873</v>
      </c>
      <c r="D24" s="189">
        <f>Table1637[[#This Row],[Column2]]-Table1637[[#This Row],[Column3]]</f>
        <v>7.9598336500004052</v>
      </c>
    </row>
    <row r="25" spans="1:4" x14ac:dyDescent="0.25">
      <c r="A25" s="21" t="s">
        <v>272</v>
      </c>
      <c r="B25" s="48">
        <v>6.8331683899999911</v>
      </c>
      <c r="C25" s="48">
        <v>0.32425086999999986</v>
      </c>
      <c r="D25" s="189">
        <f>Table1637[[#This Row],[Column2]]-Table1637[[#This Row],[Column3]]</f>
        <v>6.5089175199999909</v>
      </c>
    </row>
    <row r="26" spans="1:4" x14ac:dyDescent="0.25">
      <c r="A26" s="21" t="s">
        <v>270</v>
      </c>
      <c r="B26" s="48">
        <v>6.9039856099999906</v>
      </c>
      <c r="C26" s="48">
        <v>1.0785405499999998</v>
      </c>
      <c r="D26" s="189">
        <f>Table1637[[#This Row],[Column2]]-Table1637[[#This Row],[Column3]]</f>
        <v>5.825445059999991</v>
      </c>
    </row>
    <row r="27" spans="1:4" x14ac:dyDescent="0.25">
      <c r="A27" s="21" t="s">
        <v>338</v>
      </c>
      <c r="B27" s="48">
        <v>5.7486133699999895</v>
      </c>
      <c r="C27" s="48"/>
      <c r="D27" s="189">
        <f>Table1637[[#This Row],[Column2]]-Table1637[[#This Row],[Column3]]</f>
        <v>5.7486133699999895</v>
      </c>
    </row>
    <row r="28" spans="1:4" x14ac:dyDescent="0.25">
      <c r="A28" s="21" t="s">
        <v>269</v>
      </c>
      <c r="B28" s="48">
        <v>4.4306419999999989</v>
      </c>
      <c r="C28" s="48">
        <v>0.267131759999999</v>
      </c>
      <c r="D28" s="189">
        <f>Table1637[[#This Row],[Column2]]-Table1637[[#This Row],[Column3]]</f>
        <v>4.1635102399999999</v>
      </c>
    </row>
    <row r="29" spans="1:4" x14ac:dyDescent="0.25">
      <c r="A29" s="21" t="s">
        <v>276</v>
      </c>
      <c r="B29" s="48">
        <v>3.2428132599999988</v>
      </c>
      <c r="C29" s="48">
        <v>0.38956413999999989</v>
      </c>
      <c r="D29" s="189">
        <f>Table1637[[#This Row],[Column2]]-Table1637[[#This Row],[Column3]]</f>
        <v>2.8532491199999988</v>
      </c>
    </row>
    <row r="30" spans="1:4" x14ac:dyDescent="0.25">
      <c r="A30" s="21" t="s">
        <v>295</v>
      </c>
      <c r="B30" s="48">
        <v>2.0917383999999992</v>
      </c>
      <c r="C30" s="48"/>
      <c r="D30" s="189">
        <f>Table1637[[#This Row],[Column2]]-Table1637[[#This Row],[Column3]]</f>
        <v>2.0917383999999992</v>
      </c>
    </row>
    <row r="31" spans="1:4" x14ac:dyDescent="0.25">
      <c r="A31" s="21" t="s">
        <v>826</v>
      </c>
      <c r="B31" s="48">
        <v>1.2819700399999974</v>
      </c>
      <c r="C31" s="48"/>
      <c r="D31" s="189">
        <f>Table1637[[#This Row],[Column2]]-Table1637[[#This Row],[Column3]]</f>
        <v>1.2819700399999974</v>
      </c>
    </row>
    <row r="32" spans="1:4" x14ac:dyDescent="0.25">
      <c r="A32" s="21" t="s">
        <v>831</v>
      </c>
      <c r="B32" s="48">
        <v>1.2121015399999977</v>
      </c>
      <c r="C32" s="48">
        <v>4.0400000000000002E-3</v>
      </c>
      <c r="D32" s="189">
        <f>Table1637[[#This Row],[Column2]]-Table1637[[#This Row],[Column3]]</f>
        <v>1.2080615399999977</v>
      </c>
    </row>
    <row r="33" spans="1:4" x14ac:dyDescent="0.25">
      <c r="A33" s="21" t="s">
        <v>845</v>
      </c>
      <c r="B33" s="48">
        <v>1.2174880800000001</v>
      </c>
      <c r="C33" s="48">
        <v>1.9185509999999899E-2</v>
      </c>
      <c r="D33" s="189">
        <f>Table1637[[#This Row],[Column2]]-Table1637[[#This Row],[Column3]]</f>
        <v>1.1983025700000003</v>
      </c>
    </row>
    <row r="34" spans="1:4" x14ac:dyDescent="0.25">
      <c r="A34" s="21" t="s">
        <v>877</v>
      </c>
      <c r="B34" s="48">
        <v>0.98229097999999904</v>
      </c>
      <c r="C34" s="48"/>
      <c r="D34" s="189">
        <f>Table1637[[#This Row],[Column2]]-Table1637[[#This Row],[Column3]]</f>
        <v>0.98229097999999904</v>
      </c>
    </row>
    <row r="35" spans="1:4" x14ac:dyDescent="0.25">
      <c r="A35" s="21" t="s">
        <v>237</v>
      </c>
      <c r="B35" s="48">
        <v>0.90133743999999916</v>
      </c>
      <c r="C35" s="48">
        <v>1.8936689999999898E-2</v>
      </c>
      <c r="D35" s="189">
        <f>Table1637[[#This Row],[Column2]]-Table1637[[#This Row],[Column3]]</f>
        <v>0.88240074999999929</v>
      </c>
    </row>
    <row r="36" spans="1:4" x14ac:dyDescent="0.25">
      <c r="A36" s="21" t="s">
        <v>252</v>
      </c>
      <c r="B36" s="48">
        <v>1.8174549299999898</v>
      </c>
      <c r="C36" s="48">
        <v>1.0983630899999992</v>
      </c>
      <c r="D36" s="189">
        <f>Table1637[[#This Row],[Column2]]-Table1637[[#This Row],[Column3]]</f>
        <v>0.7190918399999906</v>
      </c>
    </row>
    <row r="37" spans="1:4" x14ac:dyDescent="0.25">
      <c r="A37" s="21" t="s">
        <v>315</v>
      </c>
      <c r="B37" s="48">
        <v>0.58050946999999908</v>
      </c>
      <c r="C37" s="48">
        <v>6.3498800000000005E-3</v>
      </c>
      <c r="D37" s="189">
        <f>Table1637[[#This Row],[Column2]]-Table1637[[#This Row],[Column3]]</f>
        <v>0.57415958999999905</v>
      </c>
    </row>
    <row r="38" spans="1:4" x14ac:dyDescent="0.25">
      <c r="A38" s="21" t="s">
        <v>901</v>
      </c>
      <c r="B38" s="48">
        <v>0.66647071999999774</v>
      </c>
      <c r="C38" s="48">
        <v>0.10062952</v>
      </c>
      <c r="D38" s="189">
        <f>Table1637[[#This Row],[Column2]]-Table1637[[#This Row],[Column3]]</f>
        <v>0.56584119999999771</v>
      </c>
    </row>
    <row r="39" spans="1:4" x14ac:dyDescent="0.25">
      <c r="A39" s="21" t="s">
        <v>798</v>
      </c>
      <c r="B39" s="48">
        <v>0.5949406599999999</v>
      </c>
      <c r="C39" s="48">
        <v>0.13731931</v>
      </c>
      <c r="D39" s="189">
        <f>Table1637[[#This Row],[Column2]]-Table1637[[#This Row],[Column3]]</f>
        <v>0.45762134999999993</v>
      </c>
    </row>
    <row r="40" spans="1:4" x14ac:dyDescent="0.25">
      <c r="A40" s="21" t="s">
        <v>280</v>
      </c>
      <c r="B40" s="48">
        <v>0.66500000000000004</v>
      </c>
      <c r="C40" s="48">
        <v>0.26132476999999887</v>
      </c>
      <c r="D40" s="189">
        <f>Table1637[[#This Row],[Column2]]-Table1637[[#This Row],[Column3]]</f>
        <v>0.40367523000000116</v>
      </c>
    </row>
    <row r="41" spans="1:4" x14ac:dyDescent="0.25">
      <c r="A41" s="21" t="s">
        <v>268</v>
      </c>
      <c r="B41" s="48">
        <v>0.30788399999999999</v>
      </c>
      <c r="C41" s="48">
        <v>4.3293799999999999E-3</v>
      </c>
      <c r="D41" s="189">
        <f>Table1637[[#This Row],[Column2]]-Table1637[[#This Row],[Column3]]</f>
        <v>0.30355462</v>
      </c>
    </row>
    <row r="42" spans="1:4" x14ac:dyDescent="0.25">
      <c r="A42" s="21" t="s">
        <v>311</v>
      </c>
      <c r="B42" s="48">
        <v>0.12619921999999989</v>
      </c>
      <c r="C42" s="48"/>
      <c r="D42" s="189">
        <f>Table1637[[#This Row],[Column2]]-Table1637[[#This Row],[Column3]]</f>
        <v>0.12619921999999989</v>
      </c>
    </row>
    <row r="43" spans="1:4" x14ac:dyDescent="0.25">
      <c r="A43" s="21" t="s">
        <v>955</v>
      </c>
      <c r="B43" s="48">
        <v>0.11667043999999992</v>
      </c>
      <c r="C43" s="48"/>
      <c r="D43" s="189">
        <f>Table1637[[#This Row],[Column2]]-Table1637[[#This Row],[Column3]]</f>
        <v>0.11667043999999992</v>
      </c>
    </row>
    <row r="44" spans="1:4" x14ac:dyDescent="0.25">
      <c r="A44" s="21" t="s">
        <v>283</v>
      </c>
      <c r="B44" s="48">
        <v>0.1021494299999999</v>
      </c>
      <c r="C44" s="48"/>
      <c r="D44" s="189">
        <f>Table1637[[#This Row],[Column2]]-Table1637[[#This Row],[Column3]]</f>
        <v>0.1021494299999999</v>
      </c>
    </row>
    <row r="45" spans="1:4" x14ac:dyDescent="0.25">
      <c r="A45" s="21" t="s">
        <v>906</v>
      </c>
      <c r="B45" s="48">
        <v>5.70129999999998E-2</v>
      </c>
      <c r="C45" s="48"/>
      <c r="D45" s="189">
        <f>Table1637[[#This Row],[Column2]]-Table1637[[#This Row],[Column3]]</f>
        <v>5.70129999999998E-2</v>
      </c>
    </row>
    <row r="46" spans="1:4" x14ac:dyDescent="0.25">
      <c r="A46" s="21" t="s">
        <v>881</v>
      </c>
      <c r="B46" s="48">
        <v>3.3689730000000001E-2</v>
      </c>
      <c r="C46" s="48"/>
      <c r="D46" s="189">
        <f>Table1637[[#This Row],[Column2]]-Table1637[[#This Row],[Column3]]</f>
        <v>3.3689730000000001E-2</v>
      </c>
    </row>
    <row r="47" spans="1:4" x14ac:dyDescent="0.25">
      <c r="A47" s="21" t="s">
        <v>284</v>
      </c>
      <c r="B47" s="48">
        <v>8.0000000000000007E-5</v>
      </c>
      <c r="C47" s="48"/>
      <c r="D47" s="189">
        <f>Table1637[[#This Row],[Column2]]-Table1637[[#This Row],[Column3]]</f>
        <v>8.0000000000000007E-5</v>
      </c>
    </row>
    <row r="48" spans="1:4" x14ac:dyDescent="0.25">
      <c r="A48" s="21" t="s">
        <v>945</v>
      </c>
      <c r="B48" s="48"/>
      <c r="C48" s="48">
        <v>4.13999999999999E-6</v>
      </c>
      <c r="D48" s="189">
        <f>Table1637[[#This Row],[Column2]]-Table1637[[#This Row],[Column3]]</f>
        <v>-4.13999999999999E-6</v>
      </c>
    </row>
    <row r="49" spans="1:4" x14ac:dyDescent="0.25">
      <c r="A49" s="21" t="s">
        <v>956</v>
      </c>
      <c r="B49" s="48"/>
      <c r="C49" s="48">
        <v>5.1204999999999903E-4</v>
      </c>
      <c r="D49" s="189">
        <f>Table1637[[#This Row],[Column2]]-Table1637[[#This Row],[Column3]]</f>
        <v>-5.1204999999999903E-4</v>
      </c>
    </row>
    <row r="50" spans="1:4" x14ac:dyDescent="0.25">
      <c r="A50" s="21" t="s">
        <v>916</v>
      </c>
      <c r="B50" s="48"/>
      <c r="C50" s="48">
        <v>5.4528999999999906E-4</v>
      </c>
      <c r="D50" s="189">
        <f>Table1637[[#This Row],[Column2]]-Table1637[[#This Row],[Column3]]</f>
        <v>-5.4528999999999906E-4</v>
      </c>
    </row>
    <row r="51" spans="1:4" x14ac:dyDescent="0.25">
      <c r="A51" s="21" t="s">
        <v>957</v>
      </c>
      <c r="B51" s="48"/>
      <c r="C51" s="48">
        <v>6.0507000000000009E-4</v>
      </c>
      <c r="D51" s="189">
        <f>Table1637[[#This Row],[Column2]]-Table1637[[#This Row],[Column3]]</f>
        <v>-6.0507000000000009E-4</v>
      </c>
    </row>
    <row r="52" spans="1:4" x14ac:dyDescent="0.25">
      <c r="A52" s="21" t="s">
        <v>288</v>
      </c>
      <c r="B52" s="48"/>
      <c r="C52" s="48">
        <v>7.6217999999999902E-4</v>
      </c>
      <c r="D52" s="189">
        <f>Table1637[[#This Row],[Column2]]-Table1637[[#This Row],[Column3]]</f>
        <v>-7.6217999999999902E-4</v>
      </c>
    </row>
    <row r="53" spans="1:4" x14ac:dyDescent="0.25">
      <c r="A53" s="21" t="s">
        <v>878</v>
      </c>
      <c r="B53" s="48">
        <v>5.0000000000000001E-3</v>
      </c>
      <c r="C53" s="48">
        <v>5.89866E-3</v>
      </c>
      <c r="D53" s="189">
        <f>Table1637[[#This Row],[Column2]]-Table1637[[#This Row],[Column3]]</f>
        <v>-8.9865999999999991E-4</v>
      </c>
    </row>
    <row r="54" spans="1:4" x14ac:dyDescent="0.25">
      <c r="A54" s="21" t="s">
        <v>911</v>
      </c>
      <c r="B54" s="48"/>
      <c r="C54" s="48">
        <v>9.1350000000000003E-4</v>
      </c>
      <c r="D54" s="189">
        <f>Table1637[[#This Row],[Column2]]-Table1637[[#This Row],[Column3]]</f>
        <v>-9.1350000000000003E-4</v>
      </c>
    </row>
    <row r="55" spans="1:4" x14ac:dyDescent="0.25">
      <c r="A55" s="21" t="s">
        <v>908</v>
      </c>
      <c r="B55" s="48"/>
      <c r="C55" s="48">
        <v>9.1388000000000005E-4</v>
      </c>
      <c r="D55" s="189">
        <f>Table1637[[#This Row],[Column2]]-Table1637[[#This Row],[Column3]]</f>
        <v>-9.1388000000000005E-4</v>
      </c>
    </row>
    <row r="56" spans="1:4" x14ac:dyDescent="0.25">
      <c r="A56" s="21" t="s">
        <v>921</v>
      </c>
      <c r="B56" s="48"/>
      <c r="C56" s="48">
        <v>9.6052999999999894E-4</v>
      </c>
      <c r="D56" s="189">
        <f>Table1637[[#This Row],[Column2]]-Table1637[[#This Row],[Column3]]</f>
        <v>-9.6052999999999894E-4</v>
      </c>
    </row>
    <row r="57" spans="1:4" x14ac:dyDescent="0.25">
      <c r="A57" s="21" t="s">
        <v>872</v>
      </c>
      <c r="B57" s="48"/>
      <c r="C57" s="48">
        <v>1.1739000000000001E-3</v>
      </c>
      <c r="D57" s="189">
        <f>Table1637[[#This Row],[Column2]]-Table1637[[#This Row],[Column3]]</f>
        <v>-1.1739000000000001E-3</v>
      </c>
    </row>
    <row r="58" spans="1:4" x14ac:dyDescent="0.25">
      <c r="A58" s="21" t="s">
        <v>958</v>
      </c>
      <c r="B58" s="48"/>
      <c r="C58" s="48">
        <v>1.9067999999999999E-3</v>
      </c>
      <c r="D58" s="189">
        <f>Table1637[[#This Row],[Column2]]-Table1637[[#This Row],[Column3]]</f>
        <v>-1.9067999999999999E-3</v>
      </c>
    </row>
    <row r="59" spans="1:4" x14ac:dyDescent="0.25">
      <c r="A59" s="21" t="s">
        <v>335</v>
      </c>
      <c r="B59" s="48"/>
      <c r="C59" s="48">
        <v>2.56829E-3</v>
      </c>
      <c r="D59" s="189">
        <f>Table1637[[#This Row],[Column2]]-Table1637[[#This Row],[Column3]]</f>
        <v>-2.56829E-3</v>
      </c>
    </row>
    <row r="60" spans="1:4" x14ac:dyDescent="0.25">
      <c r="A60" s="21" t="s">
        <v>279</v>
      </c>
      <c r="B60" s="48">
        <v>3.6860000000000005E-3</v>
      </c>
      <c r="C60" s="48">
        <v>6.2948199999999675E-3</v>
      </c>
      <c r="D60" s="189">
        <f>Table1637[[#This Row],[Column2]]-Table1637[[#This Row],[Column3]]</f>
        <v>-2.608819999999967E-3</v>
      </c>
    </row>
    <row r="61" spans="1:4" x14ac:dyDescent="0.25">
      <c r="A61" s="21" t="s">
        <v>917</v>
      </c>
      <c r="B61" s="48"/>
      <c r="C61" s="48">
        <v>3.4491399999999899E-3</v>
      </c>
      <c r="D61" s="189">
        <f>Table1637[[#This Row],[Column2]]-Table1637[[#This Row],[Column3]]</f>
        <v>-3.4491399999999899E-3</v>
      </c>
    </row>
    <row r="62" spans="1:4" x14ac:dyDescent="0.25">
      <c r="A62" s="21" t="s">
        <v>275</v>
      </c>
      <c r="B62" s="48"/>
      <c r="C62" s="48">
        <v>3.5069200000000002E-3</v>
      </c>
      <c r="D62" s="189">
        <f>Table1637[[#This Row],[Column2]]-Table1637[[#This Row],[Column3]]</f>
        <v>-3.5069200000000002E-3</v>
      </c>
    </row>
    <row r="63" spans="1:4" x14ac:dyDescent="0.25">
      <c r="A63" s="21" t="s">
        <v>867</v>
      </c>
      <c r="B63" s="48"/>
      <c r="C63" s="48">
        <v>3.5927299999999902E-3</v>
      </c>
      <c r="D63" s="189">
        <f>Table1637[[#This Row],[Column2]]-Table1637[[#This Row],[Column3]]</f>
        <v>-3.5927299999999902E-3</v>
      </c>
    </row>
    <row r="64" spans="1:4" x14ac:dyDescent="0.25">
      <c r="A64" s="21" t="s">
        <v>959</v>
      </c>
      <c r="B64" s="48"/>
      <c r="C64" s="48">
        <v>3.6535999999999999E-3</v>
      </c>
      <c r="D64" s="189">
        <f>Table1637[[#This Row],[Column2]]-Table1637[[#This Row],[Column3]]</f>
        <v>-3.6535999999999999E-3</v>
      </c>
    </row>
    <row r="65" spans="1:4" x14ac:dyDescent="0.25">
      <c r="A65" s="21" t="s">
        <v>865</v>
      </c>
      <c r="B65" s="48"/>
      <c r="C65" s="48">
        <v>5.7056499999999788E-3</v>
      </c>
      <c r="D65" s="189">
        <f>Table1637[[#This Row],[Column2]]-Table1637[[#This Row],[Column3]]</f>
        <v>-5.7056499999999788E-3</v>
      </c>
    </row>
    <row r="66" spans="1:4" x14ac:dyDescent="0.25">
      <c r="A66" s="21" t="s">
        <v>914</v>
      </c>
      <c r="B66" s="48"/>
      <c r="C66" s="48">
        <v>8.8620599999999893E-3</v>
      </c>
      <c r="D66" s="189">
        <f>Table1637[[#This Row],[Column2]]-Table1637[[#This Row],[Column3]]</f>
        <v>-8.8620599999999893E-3</v>
      </c>
    </row>
    <row r="67" spans="1:4" x14ac:dyDescent="0.25">
      <c r="A67" s="21" t="s">
        <v>871</v>
      </c>
      <c r="B67" s="48"/>
      <c r="C67" s="48">
        <v>9.0824399999999902E-3</v>
      </c>
      <c r="D67" s="189">
        <f>Table1637[[#This Row],[Column2]]-Table1637[[#This Row],[Column3]]</f>
        <v>-9.0824399999999902E-3</v>
      </c>
    </row>
    <row r="68" spans="1:4" x14ac:dyDescent="0.25">
      <c r="A68" s="21" t="s">
        <v>859</v>
      </c>
      <c r="B68" s="48"/>
      <c r="C68" s="48">
        <v>1.027602E-2</v>
      </c>
      <c r="D68" s="189">
        <f>Table1637[[#This Row],[Column2]]-Table1637[[#This Row],[Column3]]</f>
        <v>-1.027602E-2</v>
      </c>
    </row>
    <row r="69" spans="1:4" x14ac:dyDescent="0.25">
      <c r="A69" s="21" t="s">
        <v>915</v>
      </c>
      <c r="B69" s="48"/>
      <c r="C69" s="48">
        <v>1.212437999999999E-2</v>
      </c>
      <c r="D69" s="189">
        <f>Table1637[[#This Row],[Column2]]-Table1637[[#This Row],[Column3]]</f>
        <v>-1.212437999999999E-2</v>
      </c>
    </row>
    <row r="70" spans="1:4" x14ac:dyDescent="0.25">
      <c r="A70" s="21" t="s">
        <v>336</v>
      </c>
      <c r="B70" s="48">
        <v>3.0040000000000001E-2</v>
      </c>
      <c r="C70" s="48">
        <v>4.3949169999999899E-2</v>
      </c>
      <c r="D70" s="189">
        <f>Table1637[[#This Row],[Column2]]-Table1637[[#This Row],[Column3]]</f>
        <v>-1.3909169999999898E-2</v>
      </c>
    </row>
    <row r="71" spans="1:4" x14ac:dyDescent="0.25">
      <c r="A71" s="21" t="s">
        <v>960</v>
      </c>
      <c r="B71" s="48"/>
      <c r="C71" s="48">
        <v>1.510309E-2</v>
      </c>
      <c r="D71" s="189">
        <f>Table1637[[#This Row],[Column2]]-Table1637[[#This Row],[Column3]]</f>
        <v>-1.510309E-2</v>
      </c>
    </row>
    <row r="72" spans="1:4" x14ac:dyDescent="0.25">
      <c r="A72" s="21" t="s">
        <v>866</v>
      </c>
      <c r="B72" s="48"/>
      <c r="C72" s="48">
        <v>1.73417999999999E-2</v>
      </c>
      <c r="D72" s="189">
        <f>Table1637[[#This Row],[Column2]]-Table1637[[#This Row],[Column3]]</f>
        <v>-1.73417999999999E-2</v>
      </c>
    </row>
    <row r="73" spans="1:4" x14ac:dyDescent="0.25">
      <c r="A73" s="21" t="s">
        <v>854</v>
      </c>
      <c r="B73" s="48"/>
      <c r="C73" s="48">
        <v>1.7617600000000001E-2</v>
      </c>
      <c r="D73" s="189">
        <f>Table1637[[#This Row],[Column2]]-Table1637[[#This Row],[Column3]]</f>
        <v>-1.7617600000000001E-2</v>
      </c>
    </row>
    <row r="74" spans="1:4" x14ac:dyDescent="0.25">
      <c r="A74" s="21" t="s">
        <v>868</v>
      </c>
      <c r="B74" s="48"/>
      <c r="C74" s="48">
        <v>1.8215099999999887E-2</v>
      </c>
      <c r="D74" s="189">
        <f>Table1637[[#This Row],[Column2]]-Table1637[[#This Row],[Column3]]</f>
        <v>-1.8215099999999887E-2</v>
      </c>
    </row>
    <row r="75" spans="1:4" x14ac:dyDescent="0.25">
      <c r="A75" s="21" t="s">
        <v>855</v>
      </c>
      <c r="B75" s="48"/>
      <c r="C75" s="48">
        <v>2.3473639999999983E-2</v>
      </c>
      <c r="D75" s="189">
        <f>Table1637[[#This Row],[Column2]]-Table1637[[#This Row],[Column3]]</f>
        <v>-2.3473639999999983E-2</v>
      </c>
    </row>
    <row r="76" spans="1:4" x14ac:dyDescent="0.25">
      <c r="A76" s="21" t="s">
        <v>858</v>
      </c>
      <c r="B76" s="48"/>
      <c r="C76" s="48">
        <v>2.3654089999999999E-2</v>
      </c>
      <c r="D76" s="189">
        <f>Table1637[[#This Row],[Column2]]-Table1637[[#This Row],[Column3]]</f>
        <v>-2.3654089999999999E-2</v>
      </c>
    </row>
    <row r="77" spans="1:4" x14ac:dyDescent="0.25">
      <c r="A77" s="21" t="s">
        <v>948</v>
      </c>
      <c r="B77" s="48"/>
      <c r="C77" s="48">
        <v>2.4390999999999999E-2</v>
      </c>
      <c r="D77" s="189">
        <f>Table1637[[#This Row],[Column2]]-Table1637[[#This Row],[Column3]]</f>
        <v>-2.4390999999999999E-2</v>
      </c>
    </row>
    <row r="78" spans="1:4" x14ac:dyDescent="0.25">
      <c r="A78" s="21" t="s">
        <v>875</v>
      </c>
      <c r="B78" s="48"/>
      <c r="C78" s="48">
        <v>2.46876199999999E-2</v>
      </c>
      <c r="D78" s="189">
        <f>Table1637[[#This Row],[Column2]]-Table1637[[#This Row],[Column3]]</f>
        <v>-2.46876199999999E-2</v>
      </c>
    </row>
    <row r="79" spans="1:4" x14ac:dyDescent="0.25">
      <c r="A79" s="21" t="s">
        <v>860</v>
      </c>
      <c r="B79" s="48"/>
      <c r="C79" s="48">
        <v>2.5916790000000002E-2</v>
      </c>
      <c r="D79" s="189">
        <f>Table1637[[#This Row],[Column2]]-Table1637[[#This Row],[Column3]]</f>
        <v>-2.5916790000000002E-2</v>
      </c>
    </row>
    <row r="80" spans="1:4" x14ac:dyDescent="0.25">
      <c r="A80" s="21" t="s">
        <v>961</v>
      </c>
      <c r="B80" s="48"/>
      <c r="C80" s="48">
        <v>2.8055029999999991E-2</v>
      </c>
      <c r="D80" s="189">
        <f>Table1637[[#This Row],[Column2]]-Table1637[[#This Row],[Column3]]</f>
        <v>-2.8055029999999991E-2</v>
      </c>
    </row>
    <row r="81" spans="1:4" x14ac:dyDescent="0.25">
      <c r="A81" s="21" t="s">
        <v>962</v>
      </c>
      <c r="B81" s="48"/>
      <c r="C81" s="48">
        <v>2.9690959999999902E-2</v>
      </c>
      <c r="D81" s="189">
        <f>Table1637[[#This Row],[Column2]]-Table1637[[#This Row],[Column3]]</f>
        <v>-2.9690959999999902E-2</v>
      </c>
    </row>
    <row r="82" spans="1:4" x14ac:dyDescent="0.25">
      <c r="A82" s="21" t="s">
        <v>898</v>
      </c>
      <c r="B82" s="48"/>
      <c r="C82" s="48">
        <v>3.3743459999999899E-2</v>
      </c>
      <c r="D82" s="189">
        <f>Table1637[[#This Row],[Column2]]-Table1637[[#This Row],[Column3]]</f>
        <v>-3.3743459999999899E-2</v>
      </c>
    </row>
    <row r="83" spans="1:4" x14ac:dyDescent="0.25">
      <c r="A83" s="21" t="s">
        <v>851</v>
      </c>
      <c r="B83" s="48"/>
      <c r="C83" s="48">
        <v>4.1123879999999891E-2</v>
      </c>
      <c r="D83" s="189">
        <f>Table1637[[#This Row],[Column2]]-Table1637[[#This Row],[Column3]]</f>
        <v>-4.1123879999999891E-2</v>
      </c>
    </row>
    <row r="84" spans="1:4" x14ac:dyDescent="0.25">
      <c r="A84" s="21" t="s">
        <v>821</v>
      </c>
      <c r="B84" s="48"/>
      <c r="C84" s="48">
        <v>6.003016999999989E-2</v>
      </c>
      <c r="D84" s="189">
        <f>Table1637[[#This Row],[Column2]]-Table1637[[#This Row],[Column3]]</f>
        <v>-6.003016999999989E-2</v>
      </c>
    </row>
    <row r="85" spans="1:4" x14ac:dyDescent="0.25">
      <c r="A85" s="21" t="s">
        <v>873</v>
      </c>
      <c r="B85" s="48"/>
      <c r="C85" s="48">
        <v>6.2308429999999998E-2</v>
      </c>
      <c r="D85" s="189">
        <f>Table1637[[#This Row],[Column2]]-Table1637[[#This Row],[Column3]]</f>
        <v>-6.2308429999999998E-2</v>
      </c>
    </row>
    <row r="86" spans="1:4" x14ac:dyDescent="0.25">
      <c r="A86" s="21" t="s">
        <v>861</v>
      </c>
      <c r="B86" s="48"/>
      <c r="C86" s="48">
        <v>6.2823939999999884E-2</v>
      </c>
      <c r="D86" s="189">
        <f>Table1637[[#This Row],[Column2]]-Table1637[[#This Row],[Column3]]</f>
        <v>-6.2823939999999884E-2</v>
      </c>
    </row>
    <row r="87" spans="1:4" x14ac:dyDescent="0.25">
      <c r="A87" s="21" t="s">
        <v>863</v>
      </c>
      <c r="B87" s="48"/>
      <c r="C87" s="48">
        <v>6.7631990000000003E-2</v>
      </c>
      <c r="D87" s="189">
        <f>Table1637[[#This Row],[Column2]]-Table1637[[#This Row],[Column3]]</f>
        <v>-6.7631990000000003E-2</v>
      </c>
    </row>
    <row r="88" spans="1:4" x14ac:dyDescent="0.25">
      <c r="A88" s="21" t="s">
        <v>869</v>
      </c>
      <c r="B88" s="48"/>
      <c r="C88" s="48">
        <v>7.1167459999999905E-2</v>
      </c>
      <c r="D88" s="189">
        <f>Table1637[[#This Row],[Column2]]-Table1637[[#This Row],[Column3]]</f>
        <v>-7.1167459999999905E-2</v>
      </c>
    </row>
    <row r="89" spans="1:4" x14ac:dyDescent="0.25">
      <c r="A89" s="21" t="s">
        <v>857</v>
      </c>
      <c r="B89" s="48"/>
      <c r="C89" s="48">
        <v>7.3239129999999875E-2</v>
      </c>
      <c r="D89" s="189">
        <f>Table1637[[#This Row],[Column2]]-Table1637[[#This Row],[Column3]]</f>
        <v>-7.3239129999999875E-2</v>
      </c>
    </row>
    <row r="90" spans="1:4" x14ac:dyDescent="0.25">
      <c r="A90" s="21" t="s">
        <v>862</v>
      </c>
      <c r="B90" s="48"/>
      <c r="C90" s="48">
        <v>8.5180699999999998E-2</v>
      </c>
      <c r="D90" s="189">
        <f>Table1637[[#This Row],[Column2]]-Table1637[[#This Row],[Column3]]</f>
        <v>-8.5180699999999998E-2</v>
      </c>
    </row>
    <row r="91" spans="1:4" x14ac:dyDescent="0.25">
      <c r="A91" s="21" t="s">
        <v>843</v>
      </c>
      <c r="B91" s="48"/>
      <c r="C91" s="48">
        <v>8.5388559999999891E-2</v>
      </c>
      <c r="D91" s="189">
        <f>Table1637[[#This Row],[Column2]]-Table1637[[#This Row],[Column3]]</f>
        <v>-8.5388559999999891E-2</v>
      </c>
    </row>
    <row r="92" spans="1:4" x14ac:dyDescent="0.25">
      <c r="A92" s="21" t="s">
        <v>907</v>
      </c>
      <c r="B92" s="48"/>
      <c r="C92" s="48">
        <v>8.9503060000000009E-2</v>
      </c>
      <c r="D92" s="189">
        <f>Table1637[[#This Row],[Column2]]-Table1637[[#This Row],[Column3]]</f>
        <v>-8.9503060000000009E-2</v>
      </c>
    </row>
    <row r="93" spans="1:4" x14ac:dyDescent="0.25">
      <c r="A93" s="21" t="s">
        <v>853</v>
      </c>
      <c r="B93" s="48"/>
      <c r="C93" s="48">
        <v>9.1842800000000002E-2</v>
      </c>
      <c r="D93" s="189">
        <f>Table1637[[#This Row],[Column2]]-Table1637[[#This Row],[Column3]]</f>
        <v>-9.1842800000000002E-2</v>
      </c>
    </row>
    <row r="94" spans="1:4" x14ac:dyDescent="0.25">
      <c r="A94" s="21" t="s">
        <v>846</v>
      </c>
      <c r="B94" s="48"/>
      <c r="C94" s="48">
        <v>9.8611569999999982E-2</v>
      </c>
      <c r="D94" s="189">
        <f>Table1637[[#This Row],[Column2]]-Table1637[[#This Row],[Column3]]</f>
        <v>-9.8611569999999982E-2</v>
      </c>
    </row>
    <row r="95" spans="1:4" x14ac:dyDescent="0.25">
      <c r="A95" s="21" t="s">
        <v>278</v>
      </c>
      <c r="B95" s="48">
        <v>9.7093299999999993E-2</v>
      </c>
      <c r="C95" s="48">
        <v>0.21068587999999988</v>
      </c>
      <c r="D95" s="189">
        <f>Table1637[[#This Row],[Column2]]-Table1637[[#This Row],[Column3]]</f>
        <v>-0.11359257999999989</v>
      </c>
    </row>
    <row r="96" spans="1:4" x14ac:dyDescent="0.25">
      <c r="A96" s="21" t="s">
        <v>870</v>
      </c>
      <c r="B96" s="48"/>
      <c r="C96" s="48">
        <v>0.12773286</v>
      </c>
      <c r="D96" s="189">
        <f>Table1637[[#This Row],[Column2]]-Table1637[[#This Row],[Column3]]</f>
        <v>-0.12773286</v>
      </c>
    </row>
    <row r="97" spans="1:4" x14ac:dyDescent="0.25">
      <c r="A97" s="21" t="s">
        <v>910</v>
      </c>
      <c r="B97" s="48"/>
      <c r="C97" s="48">
        <v>0.12773670000000001</v>
      </c>
      <c r="D97" s="189">
        <f>Table1637[[#This Row],[Column2]]-Table1637[[#This Row],[Column3]]</f>
        <v>-0.12773670000000001</v>
      </c>
    </row>
    <row r="98" spans="1:4" x14ac:dyDescent="0.25">
      <c r="A98" s="21" t="s">
        <v>842</v>
      </c>
      <c r="B98" s="48"/>
      <c r="C98" s="48">
        <v>0.13947744000000001</v>
      </c>
      <c r="D98" s="189">
        <f>Table1637[[#This Row],[Column2]]-Table1637[[#This Row],[Column3]]</f>
        <v>-0.13947744000000001</v>
      </c>
    </row>
    <row r="99" spans="1:4" x14ac:dyDescent="0.25">
      <c r="A99" s="21" t="s">
        <v>836</v>
      </c>
      <c r="B99" s="48"/>
      <c r="C99" s="48">
        <v>0.14708835999999997</v>
      </c>
      <c r="D99" s="189">
        <f>Table1637[[#This Row],[Column2]]-Table1637[[#This Row],[Column3]]</f>
        <v>-0.14708835999999997</v>
      </c>
    </row>
    <row r="100" spans="1:4" x14ac:dyDescent="0.25">
      <c r="A100" s="21" t="s">
        <v>834</v>
      </c>
      <c r="B100" s="48"/>
      <c r="C100" s="48">
        <v>0.17187838999999977</v>
      </c>
      <c r="D100" s="189">
        <f>Table1637[[#This Row],[Column2]]-Table1637[[#This Row],[Column3]]</f>
        <v>-0.17187838999999977</v>
      </c>
    </row>
    <row r="101" spans="1:4" x14ac:dyDescent="0.25">
      <c r="A101" s="21" t="s">
        <v>282</v>
      </c>
      <c r="B101" s="48"/>
      <c r="C101" s="48">
        <v>0.18320271999999985</v>
      </c>
      <c r="D101" s="189">
        <f>Table1637[[#This Row],[Column2]]-Table1637[[#This Row],[Column3]]</f>
        <v>-0.18320271999999985</v>
      </c>
    </row>
    <row r="102" spans="1:4" x14ac:dyDescent="0.25">
      <c r="A102" s="21" t="s">
        <v>839</v>
      </c>
      <c r="B102" s="48"/>
      <c r="C102" s="48">
        <v>0.20514212999999965</v>
      </c>
      <c r="D102" s="189">
        <f>Table1637[[#This Row],[Column2]]-Table1637[[#This Row],[Column3]]</f>
        <v>-0.20514212999999965</v>
      </c>
    </row>
    <row r="103" spans="1:4" x14ac:dyDescent="0.25">
      <c r="A103" s="21" t="s">
        <v>796</v>
      </c>
      <c r="B103" s="48"/>
      <c r="C103" s="48">
        <v>0.20790103999999979</v>
      </c>
      <c r="D103" s="189">
        <f>Table1637[[#This Row],[Column2]]-Table1637[[#This Row],[Column3]]</f>
        <v>-0.20790103999999979</v>
      </c>
    </row>
    <row r="104" spans="1:4" x14ac:dyDescent="0.25">
      <c r="A104" s="21" t="s">
        <v>287</v>
      </c>
      <c r="B104" s="48"/>
      <c r="C104" s="48">
        <v>0.21925756999999893</v>
      </c>
      <c r="D104" s="189">
        <f>Table1637[[#This Row],[Column2]]-Table1637[[#This Row],[Column3]]</f>
        <v>-0.21925756999999893</v>
      </c>
    </row>
    <row r="105" spans="1:4" x14ac:dyDescent="0.25">
      <c r="A105" s="21" t="s">
        <v>848</v>
      </c>
      <c r="B105" s="48"/>
      <c r="C105" s="48">
        <v>0.23181844999999987</v>
      </c>
      <c r="D105" s="189">
        <f>Table1637[[#This Row],[Column2]]-Table1637[[#This Row],[Column3]]</f>
        <v>-0.23181844999999987</v>
      </c>
    </row>
    <row r="106" spans="1:4" x14ac:dyDescent="0.25">
      <c r="A106" s="21" t="s">
        <v>850</v>
      </c>
      <c r="B106" s="48"/>
      <c r="C106" s="48">
        <v>0.27906093999999992</v>
      </c>
      <c r="D106" s="189">
        <f>Table1637[[#This Row],[Column2]]-Table1637[[#This Row],[Column3]]</f>
        <v>-0.27906093999999992</v>
      </c>
    </row>
    <row r="107" spans="1:4" x14ac:dyDescent="0.25">
      <c r="A107" s="21" t="s">
        <v>805</v>
      </c>
      <c r="B107" s="48"/>
      <c r="C107" s="48">
        <v>0.28597302999999985</v>
      </c>
      <c r="D107" s="189">
        <f>Table1637[[#This Row],[Column2]]-Table1637[[#This Row],[Column3]]</f>
        <v>-0.28597302999999985</v>
      </c>
    </row>
    <row r="108" spans="1:4" x14ac:dyDescent="0.25">
      <c r="A108" s="21" t="s">
        <v>281</v>
      </c>
      <c r="B108" s="48"/>
      <c r="C108" s="48">
        <v>0.31845204999999965</v>
      </c>
      <c r="D108" s="189">
        <f>Table1637[[#This Row],[Column2]]-Table1637[[#This Row],[Column3]]</f>
        <v>-0.31845204999999965</v>
      </c>
    </row>
    <row r="109" spans="1:4" x14ac:dyDescent="0.25">
      <c r="A109" s="21" t="s">
        <v>835</v>
      </c>
      <c r="B109" s="48"/>
      <c r="C109" s="48">
        <v>0.32515326999999999</v>
      </c>
      <c r="D109" s="189">
        <f>Table1637[[#This Row],[Column2]]-Table1637[[#This Row],[Column3]]</f>
        <v>-0.32515326999999999</v>
      </c>
    </row>
    <row r="110" spans="1:4" x14ac:dyDescent="0.25">
      <c r="A110" s="21" t="s">
        <v>286</v>
      </c>
      <c r="B110" s="48"/>
      <c r="C110" s="48">
        <v>0.33952169999999982</v>
      </c>
      <c r="D110" s="189">
        <f>Table1637[[#This Row],[Column2]]-Table1637[[#This Row],[Column3]]</f>
        <v>-0.33952169999999982</v>
      </c>
    </row>
    <row r="111" spans="1:4" x14ac:dyDescent="0.25">
      <c r="A111" s="21" t="s">
        <v>884</v>
      </c>
      <c r="B111" s="48"/>
      <c r="C111" s="48">
        <v>0.36577714</v>
      </c>
      <c r="D111" s="189">
        <f>Table1637[[#This Row],[Column2]]-Table1637[[#This Row],[Column3]]</f>
        <v>-0.36577714</v>
      </c>
    </row>
    <row r="112" spans="1:4" x14ac:dyDescent="0.25">
      <c r="A112" s="21" t="s">
        <v>847</v>
      </c>
      <c r="B112" s="48"/>
      <c r="C112" s="48">
        <v>0.38389159</v>
      </c>
      <c r="D112" s="189">
        <f>Table1637[[#This Row],[Column2]]-Table1637[[#This Row],[Column3]]</f>
        <v>-0.38389159</v>
      </c>
    </row>
    <row r="113" spans="1:4" x14ac:dyDescent="0.25">
      <c r="A113" s="21" t="s">
        <v>840</v>
      </c>
      <c r="B113" s="48">
        <v>7.5945600000000002E-3</v>
      </c>
      <c r="C113" s="48">
        <v>0.41251234999999997</v>
      </c>
      <c r="D113" s="189">
        <f>Table1637[[#This Row],[Column2]]-Table1637[[#This Row],[Column3]]</f>
        <v>-0.40491778999999994</v>
      </c>
    </row>
    <row r="114" spans="1:4" x14ac:dyDescent="0.25">
      <c r="A114" s="21" t="s">
        <v>838</v>
      </c>
      <c r="B114" s="48"/>
      <c r="C114" s="48">
        <v>0.44406161999999999</v>
      </c>
      <c r="D114" s="189">
        <f>Table1637[[#This Row],[Column2]]-Table1637[[#This Row],[Column3]]</f>
        <v>-0.44406161999999999</v>
      </c>
    </row>
    <row r="115" spans="1:4" x14ac:dyDescent="0.25">
      <c r="A115" s="21" t="s">
        <v>849</v>
      </c>
      <c r="B115" s="48"/>
      <c r="C115" s="48">
        <v>0.58860939999999784</v>
      </c>
      <c r="D115" s="189">
        <f>Table1637[[#This Row],[Column2]]-Table1637[[#This Row],[Column3]]</f>
        <v>-0.58860939999999784</v>
      </c>
    </row>
    <row r="116" spans="1:4" x14ac:dyDescent="0.25">
      <c r="A116" s="21" t="s">
        <v>804</v>
      </c>
      <c r="B116" s="48"/>
      <c r="C116" s="48">
        <v>0.65896772999999953</v>
      </c>
      <c r="D116" s="189">
        <f>Table1637[[#This Row],[Column2]]-Table1637[[#This Row],[Column3]]</f>
        <v>-0.65896772999999953</v>
      </c>
    </row>
    <row r="117" spans="1:4" x14ac:dyDescent="0.25">
      <c r="A117" s="21" t="s">
        <v>827</v>
      </c>
      <c r="B117" s="48"/>
      <c r="C117" s="48">
        <v>0.76478433999999973</v>
      </c>
      <c r="D117" s="189">
        <f>Table1637[[#This Row],[Column2]]-Table1637[[#This Row],[Column3]]</f>
        <v>-0.76478433999999973</v>
      </c>
    </row>
    <row r="118" spans="1:4" x14ac:dyDescent="0.25">
      <c r="A118" s="21" t="s">
        <v>837</v>
      </c>
      <c r="B118" s="48"/>
      <c r="C118" s="48">
        <v>0.81700591999999994</v>
      </c>
      <c r="D118" s="189">
        <f>Table1637[[#This Row],[Column2]]-Table1637[[#This Row],[Column3]]</f>
        <v>-0.81700591999999994</v>
      </c>
    </row>
    <row r="119" spans="1:4" x14ac:dyDescent="0.25">
      <c r="A119" s="21" t="s">
        <v>265</v>
      </c>
      <c r="B119" s="48">
        <v>0.4428985199999998</v>
      </c>
      <c r="C119" s="48">
        <v>1.2939659199999978</v>
      </c>
      <c r="D119" s="189">
        <f>Table1637[[#This Row],[Column2]]-Table1637[[#This Row],[Column3]]</f>
        <v>-0.85106739999999803</v>
      </c>
    </row>
    <row r="120" spans="1:4" x14ac:dyDescent="0.25">
      <c r="A120" s="21" t="s">
        <v>856</v>
      </c>
      <c r="B120" s="48"/>
      <c r="C120" s="48">
        <v>0.98272471999999877</v>
      </c>
      <c r="D120" s="189">
        <f>Table1637[[#This Row],[Column2]]-Table1637[[#This Row],[Column3]]</f>
        <v>-0.98272471999999877</v>
      </c>
    </row>
    <row r="121" spans="1:4" x14ac:dyDescent="0.25">
      <c r="A121" s="21" t="s">
        <v>883</v>
      </c>
      <c r="B121" s="48"/>
      <c r="C121" s="48">
        <v>1.0518391499999993</v>
      </c>
      <c r="D121" s="189">
        <f>Table1637[[#This Row],[Column2]]-Table1637[[#This Row],[Column3]]</f>
        <v>-1.0518391499999993</v>
      </c>
    </row>
    <row r="122" spans="1:4" x14ac:dyDescent="0.25">
      <c r="A122" s="21" t="s">
        <v>841</v>
      </c>
      <c r="B122" s="48">
        <v>1.7000000000000001E-4</v>
      </c>
      <c r="C122" s="48">
        <v>1.0766570999999998</v>
      </c>
      <c r="D122" s="189">
        <f>Table1637[[#This Row],[Column2]]-Table1637[[#This Row],[Column3]]</f>
        <v>-1.0764870999999998</v>
      </c>
    </row>
    <row r="123" spans="1:4" x14ac:dyDescent="0.25">
      <c r="A123" s="21" t="s">
        <v>810</v>
      </c>
      <c r="B123" s="48">
        <v>0.20678913000000002</v>
      </c>
      <c r="C123" s="48">
        <v>1.5489074799999987</v>
      </c>
      <c r="D123" s="189">
        <f>Table1637[[#This Row],[Column2]]-Table1637[[#This Row],[Column3]]</f>
        <v>-1.3421183499999987</v>
      </c>
    </row>
    <row r="124" spans="1:4" x14ac:dyDescent="0.25">
      <c r="A124" s="21" t="s">
        <v>814</v>
      </c>
      <c r="B124" s="48">
        <v>1.3812120000000001E-2</v>
      </c>
      <c r="C124" s="48">
        <v>1.8117612999999986</v>
      </c>
      <c r="D124" s="189">
        <f>Table1637[[#This Row],[Column2]]-Table1637[[#This Row],[Column3]]</f>
        <v>-1.7979491799999985</v>
      </c>
    </row>
    <row r="125" spans="1:4" x14ac:dyDescent="0.25">
      <c r="A125" s="21" t="s">
        <v>844</v>
      </c>
      <c r="B125" s="48"/>
      <c r="C125" s="48">
        <v>2.18836202</v>
      </c>
      <c r="D125" s="189">
        <f>Table1637[[#This Row],[Column2]]-Table1637[[#This Row],[Column3]]</f>
        <v>-2.18836202</v>
      </c>
    </row>
    <row r="126" spans="1:4" x14ac:dyDescent="0.25">
      <c r="A126" s="21" t="s">
        <v>815</v>
      </c>
      <c r="B126" s="48">
        <v>0.52413551999999997</v>
      </c>
      <c r="C126" s="48">
        <v>2.9077808799999998</v>
      </c>
      <c r="D126" s="189">
        <f>Table1637[[#This Row],[Column2]]-Table1637[[#This Row],[Column3]]</f>
        <v>-2.38364536</v>
      </c>
    </row>
    <row r="127" spans="1:4" x14ac:dyDescent="0.25">
      <c r="A127" s="21" t="s">
        <v>899</v>
      </c>
      <c r="B127" s="48">
        <v>0.69660398999999895</v>
      </c>
      <c r="C127" s="48">
        <v>3.1556107299999998</v>
      </c>
      <c r="D127" s="189">
        <f>Table1637[[#This Row],[Column2]]-Table1637[[#This Row],[Column3]]</f>
        <v>-2.4590067400000009</v>
      </c>
    </row>
    <row r="128" spans="1:4" x14ac:dyDescent="0.25">
      <c r="A128" s="21" t="s">
        <v>803</v>
      </c>
      <c r="B128" s="48"/>
      <c r="C128" s="48">
        <v>2.6597018899999898</v>
      </c>
      <c r="D128" s="189">
        <f>Table1637[[#This Row],[Column2]]-Table1637[[#This Row],[Column3]]</f>
        <v>-2.6597018899999898</v>
      </c>
    </row>
    <row r="129" spans="1:4" x14ac:dyDescent="0.25">
      <c r="A129" s="21" t="s">
        <v>830</v>
      </c>
      <c r="B129" s="48"/>
      <c r="C129" s="48">
        <v>3.2096083499999994</v>
      </c>
      <c r="D129" s="189">
        <f>Table1637[[#This Row],[Column2]]-Table1637[[#This Row],[Column3]]</f>
        <v>-3.2096083499999994</v>
      </c>
    </row>
    <row r="130" spans="1:4" x14ac:dyDescent="0.25">
      <c r="A130" s="21" t="s">
        <v>823</v>
      </c>
      <c r="B130" s="48">
        <v>0.18201049999999991</v>
      </c>
      <c r="C130" s="48">
        <v>3.5538409999999936</v>
      </c>
      <c r="D130" s="189">
        <f>Table1637[[#This Row],[Column2]]-Table1637[[#This Row],[Column3]]</f>
        <v>-3.3718304999999935</v>
      </c>
    </row>
    <row r="131" spans="1:4" x14ac:dyDescent="0.25">
      <c r="A131" s="21" t="s">
        <v>832</v>
      </c>
      <c r="B131" s="48">
        <v>2.0066232999999891</v>
      </c>
      <c r="C131" s="48">
        <v>5.6188140999999963</v>
      </c>
      <c r="D131" s="189">
        <f>Table1637[[#This Row],[Column2]]-Table1637[[#This Row],[Column3]]</f>
        <v>-3.6121908000000071</v>
      </c>
    </row>
    <row r="132" spans="1:4" x14ac:dyDescent="0.25">
      <c r="A132" s="21" t="s">
        <v>824</v>
      </c>
      <c r="B132" s="48">
        <v>2.5999999999999998E-4</v>
      </c>
      <c r="C132" s="48">
        <v>3.7139029499999991</v>
      </c>
      <c r="D132" s="189">
        <f>Table1637[[#This Row],[Column2]]-Table1637[[#This Row],[Column3]]</f>
        <v>-3.7136429499999992</v>
      </c>
    </row>
    <row r="133" spans="1:4" x14ac:dyDescent="0.25">
      <c r="A133" s="21" t="s">
        <v>829</v>
      </c>
      <c r="B133" s="48">
        <v>0.22192551999999999</v>
      </c>
      <c r="C133" s="48">
        <v>4.4673176699999884</v>
      </c>
      <c r="D133" s="189">
        <f>Table1637[[#This Row],[Column2]]-Table1637[[#This Row],[Column3]]</f>
        <v>-4.2453921499999883</v>
      </c>
    </row>
    <row r="134" spans="1:4" x14ac:dyDescent="0.25">
      <c r="A134" s="21" t="s">
        <v>822</v>
      </c>
      <c r="B134" s="48"/>
      <c r="C134" s="48">
        <v>4.3608265299999891</v>
      </c>
      <c r="D134" s="189">
        <f>Table1637[[#This Row],[Column2]]-Table1637[[#This Row],[Column3]]</f>
        <v>-4.3608265299999891</v>
      </c>
    </row>
    <row r="135" spans="1:4" x14ac:dyDescent="0.25">
      <c r="A135" s="21" t="s">
        <v>828</v>
      </c>
      <c r="B135" s="48">
        <v>1.0488051</v>
      </c>
      <c r="C135" s="48">
        <v>5.9568522299999813</v>
      </c>
      <c r="D135" s="189">
        <f>Table1637[[#This Row],[Column2]]-Table1637[[#This Row],[Column3]]</f>
        <v>-4.9080471299999813</v>
      </c>
    </row>
    <row r="136" spans="1:4" x14ac:dyDescent="0.25">
      <c r="A136" s="21" t="s">
        <v>896</v>
      </c>
      <c r="B136" s="48"/>
      <c r="C136" s="48">
        <v>5.6398593399999895</v>
      </c>
      <c r="D136" s="189">
        <f>Table1637[[#This Row],[Column2]]-Table1637[[#This Row],[Column3]]</f>
        <v>-5.6398593399999895</v>
      </c>
    </row>
    <row r="137" spans="1:4" x14ac:dyDescent="0.25">
      <c r="A137" s="21" t="s">
        <v>807</v>
      </c>
      <c r="B137" s="48">
        <v>4.4392250599999894</v>
      </c>
      <c r="C137" s="48">
        <v>10.735855959999999</v>
      </c>
      <c r="D137" s="189">
        <f>Table1637[[#This Row],[Column2]]-Table1637[[#This Row],[Column3]]</f>
        <v>-6.2966309000000091</v>
      </c>
    </row>
    <row r="138" spans="1:4" x14ac:dyDescent="0.25">
      <c r="A138" s="21" t="s">
        <v>833</v>
      </c>
      <c r="B138" s="48">
        <v>0.25065487999999986</v>
      </c>
      <c r="C138" s="48">
        <v>6.9969973099999976</v>
      </c>
      <c r="D138" s="189">
        <f>Table1637[[#This Row],[Column2]]-Table1637[[#This Row],[Column3]]</f>
        <v>-6.7463424299999977</v>
      </c>
    </row>
    <row r="139" spans="1:4" x14ac:dyDescent="0.25">
      <c r="A139" s="21" t="s">
        <v>820</v>
      </c>
      <c r="B139" s="48">
        <v>0.29001650999999978</v>
      </c>
      <c r="C139" s="48">
        <v>7.286079599999983</v>
      </c>
      <c r="D139" s="189">
        <f>Table1637[[#This Row],[Column2]]-Table1637[[#This Row],[Column3]]</f>
        <v>-6.9960630899999829</v>
      </c>
    </row>
    <row r="140" spans="1:4" x14ac:dyDescent="0.25">
      <c r="A140" s="21" t="s">
        <v>273</v>
      </c>
      <c r="B140" s="48"/>
      <c r="C140" s="48">
        <v>7.0573331299999964</v>
      </c>
      <c r="D140" s="189">
        <f>Table1637[[#This Row],[Column2]]-Table1637[[#This Row],[Column3]]</f>
        <v>-7.0573331299999964</v>
      </c>
    </row>
    <row r="141" spans="1:4" x14ac:dyDescent="0.25">
      <c r="A141" s="21" t="s">
        <v>812</v>
      </c>
      <c r="B141" s="48">
        <v>15.708174119999999</v>
      </c>
      <c r="C141" s="48">
        <v>23.184163609999942</v>
      </c>
      <c r="D141" s="189">
        <f>Table1637[[#This Row],[Column2]]-Table1637[[#This Row],[Column3]]</f>
        <v>-7.4759894899999431</v>
      </c>
    </row>
    <row r="142" spans="1:4" x14ac:dyDescent="0.25">
      <c r="A142" s="21" t="s">
        <v>817</v>
      </c>
      <c r="B142" s="48">
        <v>3.7816749999999996E-2</v>
      </c>
      <c r="C142" s="48">
        <v>8.6146264299999942</v>
      </c>
      <c r="D142" s="189">
        <f>Table1637[[#This Row],[Column2]]-Table1637[[#This Row],[Column3]]</f>
        <v>-8.5768096799999949</v>
      </c>
    </row>
    <row r="143" spans="1:4" x14ac:dyDescent="0.25">
      <c r="A143" s="21" t="s">
        <v>825</v>
      </c>
      <c r="B143" s="48">
        <v>4.447000000000001E-2</v>
      </c>
      <c r="C143" s="48">
        <v>9.7756383599999772</v>
      </c>
      <c r="D143" s="189">
        <f>Table1637[[#This Row],[Column2]]-Table1637[[#This Row],[Column3]]</f>
        <v>-9.7311683599999768</v>
      </c>
    </row>
    <row r="144" spans="1:4" x14ac:dyDescent="0.25">
      <c r="A144" s="21" t="s">
        <v>238</v>
      </c>
      <c r="B144" s="48">
        <v>5.0000000000000001E-4</v>
      </c>
      <c r="C144" s="48">
        <v>10.082264439999978</v>
      </c>
      <c r="D144" s="189">
        <f>Table1637[[#This Row],[Column2]]-Table1637[[#This Row],[Column3]]</f>
        <v>-10.081764439999978</v>
      </c>
    </row>
    <row r="145" spans="1:4" x14ac:dyDescent="0.25">
      <c r="A145" s="21" t="s">
        <v>259</v>
      </c>
      <c r="B145" s="48">
        <v>15.395379339999987</v>
      </c>
      <c r="C145" s="48">
        <v>25.565753669999978</v>
      </c>
      <c r="D145" s="189">
        <f>Table1637[[#This Row],[Column2]]-Table1637[[#This Row],[Column3]]</f>
        <v>-10.170374329999991</v>
      </c>
    </row>
    <row r="146" spans="1:4" x14ac:dyDescent="0.25">
      <c r="A146" s="21" t="s">
        <v>816</v>
      </c>
      <c r="B146" s="48">
        <v>0.69165594999999991</v>
      </c>
      <c r="C146" s="48">
        <v>12.282465589999978</v>
      </c>
      <c r="D146" s="189">
        <f>Table1637[[#This Row],[Column2]]-Table1637[[#This Row],[Column3]]</f>
        <v>-11.590809639999978</v>
      </c>
    </row>
    <row r="147" spans="1:4" x14ac:dyDescent="0.25">
      <c r="A147" s="21" t="s">
        <v>811</v>
      </c>
      <c r="B147" s="48">
        <v>3.1571999999999989E-2</v>
      </c>
      <c r="C147" s="48">
        <v>12.529994319999981</v>
      </c>
      <c r="D147" s="189">
        <f>Table1637[[#This Row],[Column2]]-Table1637[[#This Row],[Column3]]</f>
        <v>-12.49842231999998</v>
      </c>
    </row>
    <row r="148" spans="1:4" x14ac:dyDescent="0.25">
      <c r="A148" s="21" t="s">
        <v>813</v>
      </c>
      <c r="B148" s="48"/>
      <c r="C148" s="48">
        <v>13.372794979999986</v>
      </c>
      <c r="D148" s="189">
        <f>Table1637[[#This Row],[Column2]]-Table1637[[#This Row],[Column3]]</f>
        <v>-13.372794979999986</v>
      </c>
    </row>
    <row r="149" spans="1:4" x14ac:dyDescent="0.25">
      <c r="A149" s="21" t="s">
        <v>808</v>
      </c>
      <c r="B149" s="48">
        <v>0.2524214999999998</v>
      </c>
      <c r="C149" s="48">
        <v>14.579749309999997</v>
      </c>
      <c r="D149" s="189">
        <f>Table1637[[#This Row],[Column2]]-Table1637[[#This Row],[Column3]]</f>
        <v>-14.327327809999996</v>
      </c>
    </row>
    <row r="150" spans="1:4" x14ac:dyDescent="0.25">
      <c r="A150" s="21" t="s">
        <v>799</v>
      </c>
      <c r="B150" s="48">
        <v>0.87922739999999977</v>
      </c>
      <c r="C150" s="48">
        <v>15.857543939999983</v>
      </c>
      <c r="D150" s="189">
        <f>Table1637[[#This Row],[Column2]]-Table1637[[#This Row],[Column3]]</f>
        <v>-14.978316539999984</v>
      </c>
    </row>
    <row r="151" spans="1:4" x14ac:dyDescent="0.25">
      <c r="A151" s="21" t="s">
        <v>818</v>
      </c>
      <c r="B151" s="48">
        <v>0.86761500999999963</v>
      </c>
      <c r="C151" s="48">
        <v>16.772270799999969</v>
      </c>
      <c r="D151" s="189">
        <f>Table1637[[#This Row],[Column2]]-Table1637[[#This Row],[Column3]]</f>
        <v>-15.904655789999969</v>
      </c>
    </row>
    <row r="152" spans="1:4" x14ac:dyDescent="0.25">
      <c r="A152" s="21" t="s">
        <v>819</v>
      </c>
      <c r="B152" s="48">
        <v>4.6803439600000001</v>
      </c>
      <c r="C152" s="48">
        <v>21.497197659999994</v>
      </c>
      <c r="D152" s="189">
        <f>Table1637[[#This Row],[Column2]]-Table1637[[#This Row],[Column3]]</f>
        <v>-16.816853699999996</v>
      </c>
    </row>
    <row r="153" spans="1:4" x14ac:dyDescent="0.25">
      <c r="A153" s="21" t="s">
        <v>260</v>
      </c>
      <c r="B153" s="48">
        <v>16.5807006799999</v>
      </c>
      <c r="C153" s="48">
        <v>35.350587289999993</v>
      </c>
      <c r="D153" s="189">
        <f>Table1637[[#This Row],[Column2]]-Table1637[[#This Row],[Column3]]</f>
        <v>-18.769886610000093</v>
      </c>
    </row>
    <row r="154" spans="1:4" x14ac:dyDescent="0.25">
      <c r="A154" s="21" t="s">
        <v>806</v>
      </c>
      <c r="B154" s="48">
        <v>1.01511375</v>
      </c>
      <c r="C154" s="48">
        <v>20.166365929999895</v>
      </c>
      <c r="D154" s="189">
        <f>Table1637[[#This Row],[Column2]]-Table1637[[#This Row],[Column3]]</f>
        <v>-19.151252179999894</v>
      </c>
    </row>
    <row r="155" spans="1:4" x14ac:dyDescent="0.25">
      <c r="A155" s="21" t="s">
        <v>888</v>
      </c>
      <c r="B155" s="48">
        <v>47.523643200000002</v>
      </c>
      <c r="C155" s="48">
        <v>67.202968599999735</v>
      </c>
      <c r="D155" s="189">
        <f>Table1637[[#This Row],[Column2]]-Table1637[[#This Row],[Column3]]</f>
        <v>-19.679325399999733</v>
      </c>
    </row>
    <row r="156" spans="1:4" x14ac:dyDescent="0.25">
      <c r="A156" s="21" t="s">
        <v>277</v>
      </c>
      <c r="B156" s="48"/>
      <c r="C156" s="48">
        <v>22.479425299999999</v>
      </c>
      <c r="D156" s="189">
        <f>Table1637[[#This Row],[Column2]]-Table1637[[#This Row],[Column3]]</f>
        <v>-22.479425299999999</v>
      </c>
    </row>
    <row r="157" spans="1:4" x14ac:dyDescent="0.25">
      <c r="A157" s="21" t="s">
        <v>267</v>
      </c>
      <c r="B157" s="48">
        <v>2.9175512400000003</v>
      </c>
      <c r="C157" s="48">
        <v>31.738334729999966</v>
      </c>
      <c r="D157" s="189">
        <f>Table1637[[#This Row],[Column2]]-Table1637[[#This Row],[Column3]]</f>
        <v>-28.820783489999965</v>
      </c>
    </row>
    <row r="158" spans="1:4" x14ac:dyDescent="0.25">
      <c r="A158" s="21" t="s">
        <v>262</v>
      </c>
      <c r="B158" s="48">
        <v>7.9062074099999986</v>
      </c>
      <c r="C158" s="48">
        <v>45.714643709999876</v>
      </c>
      <c r="D158" s="189">
        <f>Table1637[[#This Row],[Column2]]-Table1637[[#This Row],[Column3]]</f>
        <v>-37.808436299999876</v>
      </c>
    </row>
    <row r="159" spans="1:4" x14ac:dyDescent="0.25">
      <c r="A159" s="21" t="s">
        <v>800</v>
      </c>
      <c r="B159" s="48">
        <v>6.6305551599999797</v>
      </c>
      <c r="C159" s="48">
        <v>47.078873990000005</v>
      </c>
      <c r="D159" s="189">
        <f>Table1637[[#This Row],[Column2]]-Table1637[[#This Row],[Column3]]</f>
        <v>-40.448318830000026</v>
      </c>
    </row>
    <row r="160" spans="1:4" x14ac:dyDescent="0.25">
      <c r="A160" s="21" t="s">
        <v>809</v>
      </c>
      <c r="B160" s="48">
        <v>0.47268429999999884</v>
      </c>
      <c r="C160" s="48">
        <v>48.935084229999887</v>
      </c>
      <c r="D160" s="189">
        <f>Table1637[[#This Row],[Column2]]-Table1637[[#This Row],[Column3]]</f>
        <v>-48.46239992999989</v>
      </c>
    </row>
    <row r="161" spans="1:4" x14ac:dyDescent="0.25">
      <c r="A161" s="21" t="s">
        <v>801</v>
      </c>
      <c r="B161" s="48">
        <v>1.5419813599999987</v>
      </c>
      <c r="C161" s="48">
        <v>54.673847099999897</v>
      </c>
      <c r="D161" s="189">
        <f>Table1637[[#This Row],[Column2]]-Table1637[[#This Row],[Column3]]</f>
        <v>-53.131865739999895</v>
      </c>
    </row>
    <row r="162" spans="1:4" x14ac:dyDescent="0.25">
      <c r="A162" s="21" t="s">
        <v>802</v>
      </c>
      <c r="B162" s="48">
        <v>10.83558463</v>
      </c>
      <c r="C162" s="48">
        <v>65.587051109999834</v>
      </c>
      <c r="D162" s="189">
        <f>Table1637[[#This Row],[Column2]]-Table1637[[#This Row],[Column3]]</f>
        <v>-54.751466479999834</v>
      </c>
    </row>
    <row r="163" spans="1:4" x14ac:dyDescent="0.25">
      <c r="A163" s="21" t="s">
        <v>451</v>
      </c>
      <c r="B163" s="48"/>
      <c r="C163" s="48">
        <v>65.092273979999945</v>
      </c>
      <c r="D163" s="189">
        <f>Table1637[[#This Row],[Column2]]-Table1637[[#This Row],[Column3]]</f>
        <v>-65.092273979999945</v>
      </c>
    </row>
    <row r="164" spans="1:4" x14ac:dyDescent="0.25">
      <c r="A164" s="21" t="s">
        <v>285</v>
      </c>
      <c r="B164" s="48">
        <v>2.3150944499999997</v>
      </c>
      <c r="C164" s="48">
        <v>163.1864680700001</v>
      </c>
      <c r="D164" s="189">
        <f>Table1637[[#This Row],[Column2]]-Table1637[[#This Row],[Column3]]</f>
        <v>-160.8713736200001</v>
      </c>
    </row>
    <row r="165" spans="1:4" x14ac:dyDescent="0.25">
      <c r="A165" s="21" t="s">
        <v>249</v>
      </c>
      <c r="B165" s="48">
        <v>184.02603078999971</v>
      </c>
      <c r="C165" s="48">
        <v>358.16750936999904</v>
      </c>
      <c r="D165" s="189">
        <f>Table1637[[#This Row],[Column2]]-Table1637[[#This Row],[Column3]]</f>
        <v>-174.14147857999933</v>
      </c>
    </row>
    <row r="166" spans="1:4" x14ac:dyDescent="0.25">
      <c r="A166" s="21" t="s">
        <v>886</v>
      </c>
      <c r="B166" s="48">
        <v>0.35370089999999899</v>
      </c>
      <c r="C166" s="48">
        <v>183.51139600999991</v>
      </c>
      <c r="D166" s="189">
        <f>Table1637[[#This Row],[Column2]]-Table1637[[#This Row],[Column3]]</f>
        <v>-183.15769510999991</v>
      </c>
    </row>
    <row r="167" spans="1:4" x14ac:dyDescent="0.25">
      <c r="A167" s="21" t="s">
        <v>891</v>
      </c>
      <c r="B167" s="48">
        <v>45.532553059999991</v>
      </c>
      <c r="C167" s="48">
        <v>276.6546954399999</v>
      </c>
      <c r="D167" s="189">
        <f>Table1637[[#This Row],[Column2]]-Table1637[[#This Row],[Column3]]</f>
        <v>-231.1221423799999</v>
      </c>
    </row>
    <row r="168" spans="1:4" x14ac:dyDescent="0.25">
      <c r="A168" s="21" t="s">
        <v>795</v>
      </c>
      <c r="B168" s="48">
        <v>32.93314184999987</v>
      </c>
      <c r="C168" s="48">
        <v>293.85721436999978</v>
      </c>
      <c r="D168" s="189">
        <f>Table1637[[#This Row],[Column2]]-Table1637[[#This Row],[Column3]]</f>
        <v>-260.92407251999992</v>
      </c>
    </row>
    <row r="169" spans="1:4" x14ac:dyDescent="0.25">
      <c r="A169" s="21" t="s">
        <v>257</v>
      </c>
      <c r="B169" s="48">
        <v>115.24487379999989</v>
      </c>
      <c r="C169" s="48">
        <v>387.7190587799999</v>
      </c>
      <c r="D169" s="189">
        <f>Table1637[[#This Row],[Column2]]-Table1637[[#This Row],[Column3]]</f>
        <v>-272.47418498000002</v>
      </c>
    </row>
    <row r="170" spans="1:4" x14ac:dyDescent="0.25">
      <c r="A170" s="21" t="s">
        <v>882</v>
      </c>
      <c r="B170" s="48">
        <v>9.9844617699999958</v>
      </c>
      <c r="C170" s="48">
        <v>284.65060690000001</v>
      </c>
      <c r="D170" s="189">
        <f>Table1637[[#This Row],[Column2]]-Table1637[[#This Row],[Column3]]</f>
        <v>-274.66614513000002</v>
      </c>
    </row>
    <row r="171" spans="1:4" x14ac:dyDescent="0.25">
      <c r="A171" s="21" t="s">
        <v>793</v>
      </c>
      <c r="B171" s="48"/>
      <c r="C171" s="48">
        <v>279.73917768000001</v>
      </c>
      <c r="D171" s="189">
        <f>Table1637[[#This Row],[Column2]]-Table1637[[#This Row],[Column3]]</f>
        <v>-279.73917768000001</v>
      </c>
    </row>
    <row r="172" spans="1:4" x14ac:dyDescent="0.25">
      <c r="A172" s="21" t="s">
        <v>797</v>
      </c>
      <c r="B172" s="48">
        <v>5.1200957899999899</v>
      </c>
      <c r="C172" s="48">
        <v>326.94643628999961</v>
      </c>
      <c r="D172" s="189">
        <f>Table1637[[#This Row],[Column2]]-Table1637[[#This Row],[Column3]]</f>
        <v>-321.82634049999962</v>
      </c>
    </row>
    <row r="173" spans="1:4" x14ac:dyDescent="0.25">
      <c r="A173" s="21" t="s">
        <v>792</v>
      </c>
      <c r="B173" s="48">
        <v>6.1393890000000007E-2</v>
      </c>
      <c r="C173" s="48">
        <v>515.27106904999903</v>
      </c>
      <c r="D173" s="189">
        <f>Table1637[[#This Row],[Column2]]-Table1637[[#This Row],[Column3]]</f>
        <v>-515.20967515999905</v>
      </c>
    </row>
    <row r="174" spans="1:4" x14ac:dyDescent="0.25">
      <c r="A174" s="21" t="s">
        <v>794</v>
      </c>
      <c r="B174" s="48">
        <v>1.6009323399999986</v>
      </c>
      <c r="C174" s="48">
        <v>573.13968311000008</v>
      </c>
      <c r="D174" s="189">
        <f>Table1637[[#This Row],[Column2]]-Table1637[[#This Row],[Column3]]</f>
        <v>-571.53875077000009</v>
      </c>
    </row>
    <row r="175" spans="1:4" x14ac:dyDescent="0.25">
      <c r="A175" s="21" t="s">
        <v>255</v>
      </c>
      <c r="B175" s="48">
        <v>72.426921209999776</v>
      </c>
      <c r="C175" s="48">
        <v>881.83020975999909</v>
      </c>
      <c r="D175" s="189">
        <f>Table1637[[#This Row],[Column2]]-Table1637[[#This Row],[Column3]]</f>
        <v>-809.40328854999927</v>
      </c>
    </row>
    <row r="176" spans="1:4" x14ac:dyDescent="0.25">
      <c r="A176" s="21" t="s">
        <v>246</v>
      </c>
      <c r="B176" s="48">
        <v>1102.4270393800002</v>
      </c>
      <c r="C176" s="48">
        <v>1976.4362705299961</v>
      </c>
      <c r="D176" s="189">
        <f>Table1637[[#This Row],[Column2]]-Table1637[[#This Row],[Column3]]</f>
        <v>-874.00923114999591</v>
      </c>
    </row>
    <row r="177" spans="1:4" x14ac:dyDescent="0.25">
      <c r="A177" s="54" t="s">
        <v>235</v>
      </c>
      <c r="B177" s="49">
        <v>2919.4246560100023</v>
      </c>
      <c r="C177" s="49">
        <v>5725.5965248600032</v>
      </c>
      <c r="D177" s="189">
        <f>Table1637[[#This Row],[Column2]]-Table1637[[#This Row],[Column3]]</f>
        <v>-2806.1718688500009</v>
      </c>
    </row>
    <row r="178" spans="1:4" s="11" customFormat="1" ht="14.5" x14ac:dyDescent="0.35">
      <c r="A178" s="272" t="s">
        <v>217</v>
      </c>
      <c r="B178" s="414">
        <f>SUM(B3:B177)</f>
        <v>9968.3558629299987</v>
      </c>
      <c r="C178" s="414">
        <f>SUM(C3:C177)</f>
        <v>14412.24819636999</v>
      </c>
      <c r="D178" s="414">
        <f>SUM(D3:D177)</f>
        <v>-4443.8923334399942</v>
      </c>
    </row>
  </sheetData>
  <hyperlinks>
    <hyperlink ref="K1" location="'Table of Content'!A1" display="Table of Content" xr:uid="{10CE3128-76FC-46D4-A85B-8C5EE183D196}"/>
    <hyperlink ref="F1" location="'Table of Content'!A1" display="Table of Content" xr:uid="{D03FB39E-250E-4D29-B762-795BA928C8C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F259"/>
  <sheetViews>
    <sheetView zoomScaleNormal="100" workbookViewId="0">
      <selection activeCell="E1" sqref="E1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16384" width="8.7265625" style="1"/>
  </cols>
  <sheetData>
    <row r="1" spans="1:6" ht="13" x14ac:dyDescent="0.3">
      <c r="A1" s="11" t="s">
        <v>963</v>
      </c>
      <c r="F1" s="7" t="s">
        <v>239</v>
      </c>
    </row>
    <row r="2" spans="1:6" ht="13" x14ac:dyDescent="0.3">
      <c r="A2" s="26" t="s">
        <v>895</v>
      </c>
      <c r="B2" s="26" t="s">
        <v>243</v>
      </c>
      <c r="C2" s="26" t="s">
        <v>219</v>
      </c>
      <c r="D2" s="6" t="s">
        <v>474</v>
      </c>
    </row>
    <row r="3" spans="1:6" x14ac:dyDescent="0.25">
      <c r="A3" s="58" t="s">
        <v>964</v>
      </c>
      <c r="B3" s="47">
        <v>391.57223964999935</v>
      </c>
      <c r="C3" s="47">
        <v>2299.2501524599948</v>
      </c>
      <c r="D3" s="274">
        <f>Table4124[[#This Row],[Column2]]-Table4124[[#This Row],[Column3]]</f>
        <v>-1907.6779128099954</v>
      </c>
    </row>
    <row r="4" spans="1:6" x14ac:dyDescent="0.25">
      <c r="A4" s="21" t="s">
        <v>540</v>
      </c>
      <c r="B4" s="48">
        <v>13.95131159999999</v>
      </c>
      <c r="C4" s="48">
        <v>533.82425196999964</v>
      </c>
      <c r="D4" s="274">
        <f>Table4124[[#This Row],[Column2]]-Table4124[[#This Row],[Column3]]</f>
        <v>-519.8729403699997</v>
      </c>
    </row>
    <row r="5" spans="1:6" x14ac:dyDescent="0.25">
      <c r="A5" s="21" t="s">
        <v>541</v>
      </c>
      <c r="B5" s="48">
        <v>0.26021729999999899</v>
      </c>
      <c r="C5" s="48">
        <v>338.51491511999944</v>
      </c>
      <c r="D5" s="274">
        <f>Table4124[[#This Row],[Column2]]-Table4124[[#This Row],[Column3]]</f>
        <v>-338.25469781999942</v>
      </c>
    </row>
    <row r="6" spans="1:6" x14ac:dyDescent="0.25">
      <c r="A6" s="21" t="s">
        <v>521</v>
      </c>
      <c r="B6" s="48">
        <v>32.36363340999997</v>
      </c>
      <c r="C6" s="48">
        <v>336.62728274999961</v>
      </c>
      <c r="D6" s="274">
        <f>Table4124[[#This Row],[Column2]]-Table4124[[#This Row],[Column3]]</f>
        <v>-304.26364933999963</v>
      </c>
    </row>
    <row r="7" spans="1:6" x14ac:dyDescent="0.25">
      <c r="A7" s="21" t="s">
        <v>658</v>
      </c>
      <c r="B7" s="48">
        <v>2.9525043199999974</v>
      </c>
      <c r="C7" s="48">
        <v>277.17767830999884</v>
      </c>
      <c r="D7" s="274">
        <f>Table4124[[#This Row],[Column2]]-Table4124[[#This Row],[Column3]]</f>
        <v>-274.22517398999884</v>
      </c>
    </row>
    <row r="8" spans="1:6" x14ac:dyDescent="0.25">
      <c r="A8" s="21" t="s">
        <v>500</v>
      </c>
      <c r="B8" s="48">
        <v>2.6343554099999986</v>
      </c>
      <c r="C8" s="48">
        <v>249.24208646999966</v>
      </c>
      <c r="D8" s="274">
        <f>Table4124[[#This Row],[Column2]]-Table4124[[#This Row],[Column3]]</f>
        <v>-246.60773105999965</v>
      </c>
    </row>
    <row r="9" spans="1:6" x14ac:dyDescent="0.25">
      <c r="A9" s="21" t="s">
        <v>565</v>
      </c>
      <c r="B9" s="48">
        <v>48.305473309999996</v>
      </c>
      <c r="C9" s="48">
        <v>282.81527863999975</v>
      </c>
      <c r="D9" s="274">
        <f>Table4124[[#This Row],[Column2]]-Table4124[[#This Row],[Column3]]</f>
        <v>-234.50980532999975</v>
      </c>
    </row>
    <row r="10" spans="1:6" x14ac:dyDescent="0.25">
      <c r="A10" s="21" t="s">
        <v>570</v>
      </c>
      <c r="B10" s="48">
        <v>31.948092819999893</v>
      </c>
      <c r="C10" s="48">
        <v>264.82890158999976</v>
      </c>
      <c r="D10" s="274">
        <f>Table4124[[#This Row],[Column2]]-Table4124[[#This Row],[Column3]]</f>
        <v>-232.88080876999987</v>
      </c>
    </row>
    <row r="11" spans="1:6" x14ac:dyDescent="0.25">
      <c r="A11" s="21" t="s">
        <v>628</v>
      </c>
      <c r="B11" s="48">
        <v>160.896646849999</v>
      </c>
      <c r="C11" s="48">
        <v>389.6385600499998</v>
      </c>
      <c r="D11" s="274">
        <f>Table4124[[#This Row],[Column2]]-Table4124[[#This Row],[Column3]]</f>
        <v>-228.74191320000079</v>
      </c>
    </row>
    <row r="12" spans="1:6" x14ac:dyDescent="0.25">
      <c r="A12" s="21" t="s">
        <v>655</v>
      </c>
      <c r="B12" s="48">
        <v>1.1700737699999997</v>
      </c>
      <c r="C12" s="48">
        <v>191.25928300999973</v>
      </c>
      <c r="D12" s="274">
        <f>Table4124[[#This Row],[Column2]]-Table4124[[#This Row],[Column3]]</f>
        <v>-190.08920923999975</v>
      </c>
    </row>
    <row r="13" spans="1:6" x14ac:dyDescent="0.25">
      <c r="A13" s="21" t="s">
        <v>495</v>
      </c>
      <c r="B13" s="48">
        <v>20.485824059999999</v>
      </c>
      <c r="C13" s="48">
        <v>194.9667066399997</v>
      </c>
      <c r="D13" s="274">
        <f>Table4124[[#This Row],[Column2]]-Table4124[[#This Row],[Column3]]</f>
        <v>-174.4808825799997</v>
      </c>
    </row>
    <row r="14" spans="1:6" x14ac:dyDescent="0.25">
      <c r="A14" s="21" t="s">
        <v>542</v>
      </c>
      <c r="B14" s="48">
        <v>4.7304721399999901</v>
      </c>
      <c r="C14" s="48">
        <v>168.36211438999996</v>
      </c>
      <c r="D14" s="274">
        <f>Table4124[[#This Row],[Column2]]-Table4124[[#This Row],[Column3]]</f>
        <v>-163.63164224999997</v>
      </c>
    </row>
    <row r="15" spans="1:6" x14ac:dyDescent="0.25">
      <c r="A15" s="21" t="s">
        <v>518</v>
      </c>
      <c r="B15" s="48">
        <v>0.26364629999999994</v>
      </c>
      <c r="C15" s="48">
        <v>154.92646988999968</v>
      </c>
      <c r="D15" s="274">
        <f>Table4124[[#This Row],[Column2]]-Table4124[[#This Row],[Column3]]</f>
        <v>-154.66282358999968</v>
      </c>
    </row>
    <row r="16" spans="1:6" x14ac:dyDescent="0.25">
      <c r="A16" s="21" t="s">
        <v>701</v>
      </c>
      <c r="B16" s="48">
        <v>2.5323990000000001E-2</v>
      </c>
      <c r="C16" s="48">
        <v>148.82537063999894</v>
      </c>
      <c r="D16" s="274">
        <f>Table4124[[#This Row],[Column2]]-Table4124[[#This Row],[Column3]]</f>
        <v>-148.80004664999893</v>
      </c>
    </row>
    <row r="17" spans="1:4" x14ac:dyDescent="0.25">
      <c r="A17" s="21" t="s">
        <v>488</v>
      </c>
      <c r="B17" s="48">
        <v>1.3550214999999997</v>
      </c>
      <c r="C17" s="48">
        <v>149.41024720999951</v>
      </c>
      <c r="D17" s="274">
        <f>Table4124[[#This Row],[Column2]]-Table4124[[#This Row],[Column3]]</f>
        <v>-148.05522570999952</v>
      </c>
    </row>
    <row r="18" spans="1:4" x14ac:dyDescent="0.25">
      <c r="A18" s="21" t="s">
        <v>608</v>
      </c>
      <c r="B18" s="48">
        <v>1.5978792800000001</v>
      </c>
      <c r="C18" s="48">
        <v>137.63871671999945</v>
      </c>
      <c r="D18" s="274">
        <f>Table4124[[#This Row],[Column2]]-Table4124[[#This Row],[Column3]]</f>
        <v>-136.04083743999945</v>
      </c>
    </row>
    <row r="19" spans="1:4" x14ac:dyDescent="0.25">
      <c r="A19" s="21" t="s">
        <v>612</v>
      </c>
      <c r="B19" s="48">
        <v>115.80269498999976</v>
      </c>
      <c r="C19" s="48">
        <v>245.96992266999973</v>
      </c>
      <c r="D19" s="274">
        <f>Table4124[[#This Row],[Column2]]-Table4124[[#This Row],[Column3]]</f>
        <v>-130.16722767999997</v>
      </c>
    </row>
    <row r="20" spans="1:4" x14ac:dyDescent="0.25">
      <c r="A20" s="21" t="s">
        <v>571</v>
      </c>
      <c r="B20" s="48">
        <v>1.30493787999999</v>
      </c>
      <c r="C20" s="48">
        <v>128.24139571999888</v>
      </c>
      <c r="D20" s="274">
        <f>Table4124[[#This Row],[Column2]]-Table4124[[#This Row],[Column3]]</f>
        <v>-126.93645783999889</v>
      </c>
    </row>
    <row r="21" spans="1:4" x14ac:dyDescent="0.25">
      <c r="A21" s="21" t="s">
        <v>482</v>
      </c>
      <c r="B21" s="48">
        <v>9.53806245</v>
      </c>
      <c r="C21" s="48">
        <v>134.31195619999988</v>
      </c>
      <c r="D21" s="274">
        <f>Table4124[[#This Row],[Column2]]-Table4124[[#This Row],[Column3]]</f>
        <v>-124.77389374999989</v>
      </c>
    </row>
    <row r="22" spans="1:4" x14ac:dyDescent="0.25">
      <c r="A22" s="21" t="s">
        <v>527</v>
      </c>
      <c r="B22" s="48">
        <v>5.8956355899999924</v>
      </c>
      <c r="C22" s="48">
        <v>129.49468603999986</v>
      </c>
      <c r="D22" s="274">
        <f>Table4124[[#This Row],[Column2]]-Table4124[[#This Row],[Column3]]</f>
        <v>-123.59905044999987</v>
      </c>
    </row>
    <row r="23" spans="1:4" x14ac:dyDescent="0.25">
      <c r="A23" s="21" t="s">
        <v>504</v>
      </c>
      <c r="B23" s="48">
        <v>23.356226939999896</v>
      </c>
      <c r="C23" s="48">
        <v>146.04947595999954</v>
      </c>
      <c r="D23" s="274">
        <f>Table4124[[#This Row],[Column2]]-Table4124[[#This Row],[Column3]]</f>
        <v>-122.69324901999964</v>
      </c>
    </row>
    <row r="24" spans="1:4" x14ac:dyDescent="0.25">
      <c r="A24" s="21" t="s">
        <v>624</v>
      </c>
      <c r="B24" s="48">
        <v>0.99000512000000018</v>
      </c>
      <c r="C24" s="48">
        <v>119.11644242999975</v>
      </c>
      <c r="D24" s="274">
        <f>Table4124[[#This Row],[Column2]]-Table4124[[#This Row],[Column3]]</f>
        <v>-118.12643730999974</v>
      </c>
    </row>
    <row r="25" spans="1:4" x14ac:dyDescent="0.25">
      <c r="A25" s="21" t="s">
        <v>694</v>
      </c>
      <c r="B25" s="48">
        <v>44.690224530000002</v>
      </c>
      <c r="C25" s="48">
        <v>153.4057310499999</v>
      </c>
      <c r="D25" s="274">
        <f>Table4124[[#This Row],[Column2]]-Table4124[[#This Row],[Column3]]</f>
        <v>-108.71550651999991</v>
      </c>
    </row>
    <row r="26" spans="1:4" x14ac:dyDescent="0.25">
      <c r="A26" s="21" t="s">
        <v>546</v>
      </c>
      <c r="B26" s="48">
        <v>0.46421043999999989</v>
      </c>
      <c r="C26" s="48">
        <v>107.26498387999983</v>
      </c>
      <c r="D26" s="274">
        <f>Table4124[[#This Row],[Column2]]-Table4124[[#This Row],[Column3]]</f>
        <v>-106.80077343999983</v>
      </c>
    </row>
    <row r="27" spans="1:4" x14ac:dyDescent="0.25">
      <c r="A27" s="21" t="s">
        <v>548</v>
      </c>
      <c r="B27" s="48">
        <v>0.45474293999999998</v>
      </c>
      <c r="C27" s="48">
        <v>105.99599295999991</v>
      </c>
      <c r="D27" s="274">
        <f>Table4124[[#This Row],[Column2]]-Table4124[[#This Row],[Column3]]</f>
        <v>-105.54125001999991</v>
      </c>
    </row>
    <row r="28" spans="1:4" x14ac:dyDescent="0.25">
      <c r="A28" s="21" t="s">
        <v>478</v>
      </c>
      <c r="B28" s="48">
        <v>105.08126163</v>
      </c>
      <c r="C28" s="48">
        <v>205.5923976</v>
      </c>
      <c r="D28" s="274">
        <f>Table4124[[#This Row],[Column2]]-Table4124[[#This Row],[Column3]]</f>
        <v>-100.51113597</v>
      </c>
    </row>
    <row r="29" spans="1:4" x14ac:dyDescent="0.25">
      <c r="A29" s="21" t="s">
        <v>693</v>
      </c>
      <c r="B29" s="48">
        <v>176.95363173000007</v>
      </c>
      <c r="C29" s="48">
        <v>274.86375653999966</v>
      </c>
      <c r="D29" s="274">
        <f>Table4124[[#This Row],[Column2]]-Table4124[[#This Row],[Column3]]</f>
        <v>-97.910124809999587</v>
      </c>
    </row>
    <row r="30" spans="1:4" x14ac:dyDescent="0.25">
      <c r="A30" s="21" t="s">
        <v>553</v>
      </c>
      <c r="B30" s="48">
        <v>0.96091123999999983</v>
      </c>
      <c r="C30" s="48">
        <v>98.858519769999916</v>
      </c>
      <c r="D30" s="274">
        <f>Table4124[[#This Row],[Column2]]-Table4124[[#This Row],[Column3]]</f>
        <v>-97.897608529999914</v>
      </c>
    </row>
    <row r="31" spans="1:4" x14ac:dyDescent="0.25">
      <c r="A31" s="21" t="s">
        <v>709</v>
      </c>
      <c r="B31" s="48">
        <v>3.5711659999999902E-2</v>
      </c>
      <c r="C31" s="48">
        <v>95.818201439999996</v>
      </c>
      <c r="D31" s="274">
        <f>Table4124[[#This Row],[Column2]]-Table4124[[#This Row],[Column3]]</f>
        <v>-95.782489779999992</v>
      </c>
    </row>
    <row r="32" spans="1:4" x14ac:dyDescent="0.25">
      <c r="A32" s="21" t="s">
        <v>506</v>
      </c>
      <c r="B32" s="48">
        <v>0.36864425999999995</v>
      </c>
      <c r="C32" s="48">
        <v>94.959463279999852</v>
      </c>
      <c r="D32" s="274">
        <f>Table4124[[#This Row],[Column2]]-Table4124[[#This Row],[Column3]]</f>
        <v>-94.590819019999856</v>
      </c>
    </row>
    <row r="33" spans="1:4" x14ac:dyDescent="0.25">
      <c r="A33" s="21" t="s">
        <v>591</v>
      </c>
      <c r="B33" s="48">
        <v>74.787918569999903</v>
      </c>
      <c r="C33" s="48">
        <v>168.38179122999969</v>
      </c>
      <c r="D33" s="274">
        <f>Table4124[[#This Row],[Column2]]-Table4124[[#This Row],[Column3]]</f>
        <v>-93.593872659999789</v>
      </c>
    </row>
    <row r="34" spans="1:4" x14ac:dyDescent="0.25">
      <c r="A34" s="21" t="s">
        <v>705</v>
      </c>
      <c r="B34" s="48">
        <v>28.521222239999993</v>
      </c>
      <c r="C34" s="48">
        <v>120.93790405999974</v>
      </c>
      <c r="D34" s="274">
        <f>Table4124[[#This Row],[Column2]]-Table4124[[#This Row],[Column3]]</f>
        <v>-92.416681819999752</v>
      </c>
    </row>
    <row r="35" spans="1:4" x14ac:dyDescent="0.25">
      <c r="A35" s="21" t="s">
        <v>517</v>
      </c>
      <c r="B35" s="48">
        <v>0.12663526999999988</v>
      </c>
      <c r="C35" s="48">
        <v>91.918615969999749</v>
      </c>
      <c r="D35" s="274">
        <f>Table4124[[#This Row],[Column2]]-Table4124[[#This Row],[Column3]]</f>
        <v>-91.791980699999755</v>
      </c>
    </row>
    <row r="36" spans="1:4" x14ac:dyDescent="0.25">
      <c r="A36" s="21" t="s">
        <v>647</v>
      </c>
      <c r="B36" s="48">
        <v>0.12011189999999999</v>
      </c>
      <c r="C36" s="48">
        <v>86.584498389999794</v>
      </c>
      <c r="D36" s="274">
        <f>Table4124[[#This Row],[Column2]]-Table4124[[#This Row],[Column3]]</f>
        <v>-86.464386489999796</v>
      </c>
    </row>
    <row r="37" spans="1:4" x14ac:dyDescent="0.25">
      <c r="A37" s="21" t="s">
        <v>490</v>
      </c>
      <c r="B37" s="48">
        <v>6.7921149999999919</v>
      </c>
      <c r="C37" s="48">
        <v>91.598018769999953</v>
      </c>
      <c r="D37" s="274">
        <f>Table4124[[#This Row],[Column2]]-Table4124[[#This Row],[Column3]]</f>
        <v>-84.805903769999958</v>
      </c>
    </row>
    <row r="38" spans="1:4" x14ac:dyDescent="0.25">
      <c r="A38" s="21" t="s">
        <v>544</v>
      </c>
      <c r="B38" s="48">
        <v>1.6889865499999974</v>
      </c>
      <c r="C38" s="48">
        <v>86.036505509999856</v>
      </c>
      <c r="D38" s="274">
        <f>Table4124[[#This Row],[Column2]]-Table4124[[#This Row],[Column3]]</f>
        <v>-84.34751895999986</v>
      </c>
    </row>
    <row r="39" spans="1:4" x14ac:dyDescent="0.25">
      <c r="A39" s="21" t="s">
        <v>965</v>
      </c>
      <c r="B39" s="48">
        <v>4.8869843799999995</v>
      </c>
      <c r="C39" s="48">
        <v>89.230549009999876</v>
      </c>
      <c r="D39" s="274">
        <f>Table4124[[#This Row],[Column2]]-Table4124[[#This Row],[Column3]]</f>
        <v>-84.343564629999875</v>
      </c>
    </row>
    <row r="40" spans="1:4" x14ac:dyDescent="0.25">
      <c r="A40" s="21" t="s">
        <v>966</v>
      </c>
      <c r="B40" s="48">
        <v>2.2796834100000001</v>
      </c>
      <c r="C40" s="48">
        <v>85.056312409999933</v>
      </c>
      <c r="D40" s="274">
        <f>Table4124[[#This Row],[Column2]]-Table4124[[#This Row],[Column3]]</f>
        <v>-82.776628999999929</v>
      </c>
    </row>
    <row r="41" spans="1:4" x14ac:dyDescent="0.25">
      <c r="A41" s="21" t="s">
        <v>967</v>
      </c>
      <c r="B41" s="48">
        <v>0.27035483999999999</v>
      </c>
      <c r="C41" s="48">
        <v>81.217352159999876</v>
      </c>
      <c r="D41" s="274">
        <f>Table4124[[#This Row],[Column2]]-Table4124[[#This Row],[Column3]]</f>
        <v>-80.94699731999988</v>
      </c>
    </row>
    <row r="42" spans="1:4" x14ac:dyDescent="0.25">
      <c r="A42" s="21" t="s">
        <v>695</v>
      </c>
      <c r="B42" s="48">
        <v>29.847920719999955</v>
      </c>
      <c r="C42" s="48">
        <v>109.37048151999997</v>
      </c>
      <c r="D42" s="274">
        <f>Table4124[[#This Row],[Column2]]-Table4124[[#This Row],[Column3]]</f>
        <v>-79.522560800000008</v>
      </c>
    </row>
    <row r="43" spans="1:4" x14ac:dyDescent="0.25">
      <c r="A43" s="21" t="s">
        <v>494</v>
      </c>
      <c r="B43" s="48">
        <v>103.48184961999991</v>
      </c>
      <c r="C43" s="48">
        <v>182.64752968999969</v>
      </c>
      <c r="D43" s="274">
        <f>Table4124[[#This Row],[Column2]]-Table4124[[#This Row],[Column3]]</f>
        <v>-79.16568006999978</v>
      </c>
    </row>
    <row r="44" spans="1:4" x14ac:dyDescent="0.25">
      <c r="A44" s="21" t="s">
        <v>484</v>
      </c>
      <c r="B44" s="48">
        <v>5.1937173199999993</v>
      </c>
      <c r="C44" s="48">
        <v>82.753036579999943</v>
      </c>
      <c r="D44" s="274">
        <f>Table4124[[#This Row],[Column2]]-Table4124[[#This Row],[Column3]]</f>
        <v>-77.559319259999938</v>
      </c>
    </row>
    <row r="45" spans="1:4" x14ac:dyDescent="0.25">
      <c r="A45" s="21" t="s">
        <v>498</v>
      </c>
      <c r="B45" s="48">
        <v>7.4328680899999924</v>
      </c>
      <c r="C45" s="48">
        <v>84.818158269999842</v>
      </c>
      <c r="D45" s="274">
        <f>Table4124[[#This Row],[Column2]]-Table4124[[#This Row],[Column3]]</f>
        <v>-77.385290179999856</v>
      </c>
    </row>
    <row r="46" spans="1:4" x14ac:dyDescent="0.25">
      <c r="A46" s="21" t="s">
        <v>690</v>
      </c>
      <c r="B46" s="48">
        <v>0.32462152999999999</v>
      </c>
      <c r="C46" s="48">
        <v>76.915165529999669</v>
      </c>
      <c r="D46" s="274">
        <f>Table4124[[#This Row],[Column2]]-Table4124[[#This Row],[Column3]]</f>
        <v>-76.590543999999667</v>
      </c>
    </row>
    <row r="47" spans="1:4" x14ac:dyDescent="0.25">
      <c r="A47" s="21" t="s">
        <v>496</v>
      </c>
      <c r="B47" s="48">
        <v>0.23227609999999993</v>
      </c>
      <c r="C47" s="48">
        <v>76.52777707999995</v>
      </c>
      <c r="D47" s="274">
        <f>Table4124[[#This Row],[Column2]]-Table4124[[#This Row],[Column3]]</f>
        <v>-76.295500979999957</v>
      </c>
    </row>
    <row r="48" spans="1:4" x14ac:dyDescent="0.25">
      <c r="A48" s="21" t="s">
        <v>525</v>
      </c>
      <c r="B48" s="48">
        <v>1.4025441300000001</v>
      </c>
      <c r="C48" s="48">
        <v>76.870858639999923</v>
      </c>
      <c r="D48" s="274">
        <f>Table4124[[#This Row],[Column2]]-Table4124[[#This Row],[Column3]]</f>
        <v>-75.468314509999928</v>
      </c>
    </row>
    <row r="49" spans="1:4" x14ac:dyDescent="0.25">
      <c r="A49" s="21" t="s">
        <v>560</v>
      </c>
      <c r="B49" s="48">
        <v>3.8284409899999985</v>
      </c>
      <c r="C49" s="48">
        <v>75.767341429999817</v>
      </c>
      <c r="D49" s="274">
        <f>Table4124[[#This Row],[Column2]]-Table4124[[#This Row],[Column3]]</f>
        <v>-71.938900439999813</v>
      </c>
    </row>
    <row r="50" spans="1:4" x14ac:dyDescent="0.25">
      <c r="A50" s="21" t="s">
        <v>576</v>
      </c>
      <c r="B50" s="48">
        <v>14.027735399999992</v>
      </c>
      <c r="C50" s="48">
        <v>85.285158139999936</v>
      </c>
      <c r="D50" s="274">
        <f>Table4124[[#This Row],[Column2]]-Table4124[[#This Row],[Column3]]</f>
        <v>-71.257422739999939</v>
      </c>
    </row>
    <row r="51" spans="1:4" x14ac:dyDescent="0.25">
      <c r="A51" s="21" t="s">
        <v>667</v>
      </c>
      <c r="B51" s="48">
        <v>0.17025379999999998</v>
      </c>
      <c r="C51" s="48">
        <v>69.291279299999857</v>
      </c>
      <c r="D51" s="274">
        <f>Table4124[[#This Row],[Column2]]-Table4124[[#This Row],[Column3]]</f>
        <v>-69.12102549999986</v>
      </c>
    </row>
    <row r="52" spans="1:4" x14ac:dyDescent="0.25">
      <c r="A52" s="21" t="s">
        <v>559</v>
      </c>
      <c r="B52" s="48">
        <v>0.60260792000000007</v>
      </c>
      <c r="C52" s="48">
        <v>69.311496699999836</v>
      </c>
      <c r="D52" s="274">
        <f>Table4124[[#This Row],[Column2]]-Table4124[[#This Row],[Column3]]</f>
        <v>-68.708888779999839</v>
      </c>
    </row>
    <row r="53" spans="1:4" x14ac:dyDescent="0.25">
      <c r="A53" s="21" t="s">
        <v>511</v>
      </c>
      <c r="B53" s="48">
        <v>4.3607861199999896</v>
      </c>
      <c r="C53" s="48">
        <v>71.340088090000009</v>
      </c>
      <c r="D53" s="274">
        <f>Table4124[[#This Row],[Column2]]-Table4124[[#This Row],[Column3]]</f>
        <v>-66.979301970000023</v>
      </c>
    </row>
    <row r="54" spans="1:4" x14ac:dyDescent="0.25">
      <c r="A54" s="21" t="s">
        <v>584</v>
      </c>
      <c r="B54" s="48">
        <v>2.8424022799999986</v>
      </c>
      <c r="C54" s="48">
        <v>69.634681909999841</v>
      </c>
      <c r="D54" s="274">
        <f>Table4124[[#This Row],[Column2]]-Table4124[[#This Row],[Column3]]</f>
        <v>-66.79227962999984</v>
      </c>
    </row>
    <row r="55" spans="1:4" x14ac:dyDescent="0.25">
      <c r="A55" s="21" t="s">
        <v>968</v>
      </c>
      <c r="B55" s="48">
        <v>34.006856529999986</v>
      </c>
      <c r="C55" s="48">
        <v>98.306146439999864</v>
      </c>
      <c r="D55" s="274">
        <f>Table4124[[#This Row],[Column2]]-Table4124[[#This Row],[Column3]]</f>
        <v>-64.299289909999885</v>
      </c>
    </row>
    <row r="56" spans="1:4" x14ac:dyDescent="0.25">
      <c r="A56" s="21" t="s">
        <v>514</v>
      </c>
      <c r="B56" s="48">
        <v>6.1531692299999987</v>
      </c>
      <c r="C56" s="48">
        <v>70.203554369999836</v>
      </c>
      <c r="D56" s="274">
        <f>Table4124[[#This Row],[Column2]]-Table4124[[#This Row],[Column3]]</f>
        <v>-64.050385139999833</v>
      </c>
    </row>
    <row r="57" spans="1:4" x14ac:dyDescent="0.25">
      <c r="A57" s="21" t="s">
        <v>497</v>
      </c>
      <c r="B57" s="48">
        <v>0.38984211999999979</v>
      </c>
      <c r="C57" s="48">
        <v>59.445401989999837</v>
      </c>
      <c r="D57" s="274">
        <f>Table4124[[#This Row],[Column2]]-Table4124[[#This Row],[Column3]]</f>
        <v>-59.05555986999984</v>
      </c>
    </row>
    <row r="58" spans="1:4" x14ac:dyDescent="0.25">
      <c r="A58" s="21" t="s">
        <v>969</v>
      </c>
      <c r="B58" s="48">
        <v>1.56235699999999</v>
      </c>
      <c r="C58" s="48">
        <v>60.41388841999985</v>
      </c>
      <c r="D58" s="274">
        <f>Table4124[[#This Row],[Column2]]-Table4124[[#This Row],[Column3]]</f>
        <v>-58.851531419999858</v>
      </c>
    </row>
    <row r="59" spans="1:4" x14ac:dyDescent="0.25">
      <c r="A59" s="21" t="s">
        <v>700</v>
      </c>
      <c r="B59" s="48">
        <v>0.4133276199999989</v>
      </c>
      <c r="C59" s="48">
        <v>56.886698389999985</v>
      </c>
      <c r="D59" s="274">
        <f>Table4124[[#This Row],[Column2]]-Table4124[[#This Row],[Column3]]</f>
        <v>-56.473370769999988</v>
      </c>
    </row>
    <row r="60" spans="1:4" x14ac:dyDescent="0.25">
      <c r="A60" s="21" t="s">
        <v>563</v>
      </c>
      <c r="B60" s="48">
        <v>9.9470489999999995E-2</v>
      </c>
      <c r="C60" s="48">
        <v>56.509708219999951</v>
      </c>
      <c r="D60" s="274">
        <f>Table4124[[#This Row],[Column2]]-Table4124[[#This Row],[Column3]]</f>
        <v>-56.410237729999949</v>
      </c>
    </row>
    <row r="61" spans="1:4" x14ac:dyDescent="0.25">
      <c r="A61" s="21" t="s">
        <v>607</v>
      </c>
      <c r="B61" s="48">
        <v>1.0571235799999998</v>
      </c>
      <c r="C61" s="48">
        <v>56.453083929999863</v>
      </c>
      <c r="D61" s="274">
        <f>Table4124[[#This Row],[Column2]]-Table4124[[#This Row],[Column3]]</f>
        <v>-55.395960349999861</v>
      </c>
    </row>
    <row r="62" spans="1:4" x14ac:dyDescent="0.25">
      <c r="A62" s="21" t="s">
        <v>719</v>
      </c>
      <c r="B62" s="48">
        <v>0.38279872000000004</v>
      </c>
      <c r="C62" s="48">
        <v>54.845475129999954</v>
      </c>
      <c r="D62" s="274">
        <f>Table4124[[#This Row],[Column2]]-Table4124[[#This Row],[Column3]]</f>
        <v>-54.462676409999958</v>
      </c>
    </row>
    <row r="63" spans="1:4" x14ac:dyDescent="0.25">
      <c r="A63" s="21" t="s">
        <v>483</v>
      </c>
      <c r="B63" s="48">
        <v>5.573985910000002</v>
      </c>
      <c r="C63" s="48">
        <v>58.667066879999943</v>
      </c>
      <c r="D63" s="274">
        <f>Table4124[[#This Row],[Column2]]-Table4124[[#This Row],[Column3]]</f>
        <v>-53.093080969999939</v>
      </c>
    </row>
    <row r="64" spans="1:4" x14ac:dyDescent="0.25">
      <c r="A64" s="21" t="s">
        <v>599</v>
      </c>
      <c r="B64" s="48">
        <v>0.15645999999999999</v>
      </c>
      <c r="C64" s="48">
        <v>52.241211939999957</v>
      </c>
      <c r="D64" s="274">
        <f>Table4124[[#This Row],[Column2]]-Table4124[[#This Row],[Column3]]</f>
        <v>-52.084751939999954</v>
      </c>
    </row>
    <row r="65" spans="1:4" x14ac:dyDescent="0.25">
      <c r="A65" s="21" t="s">
        <v>556</v>
      </c>
      <c r="B65" s="48">
        <v>1.2802138399999996</v>
      </c>
      <c r="C65" s="48">
        <v>53.286259189999889</v>
      </c>
      <c r="D65" s="274">
        <f>Table4124[[#This Row],[Column2]]-Table4124[[#This Row],[Column3]]</f>
        <v>-52.006045349999887</v>
      </c>
    </row>
    <row r="66" spans="1:4" x14ac:dyDescent="0.25">
      <c r="A66" s="21" t="s">
        <v>537</v>
      </c>
      <c r="B66" s="48">
        <v>4.9214002399999899</v>
      </c>
      <c r="C66" s="48">
        <v>55.056528559999975</v>
      </c>
      <c r="D66" s="274">
        <f>Table4124[[#This Row],[Column2]]-Table4124[[#This Row],[Column3]]</f>
        <v>-50.135128319999986</v>
      </c>
    </row>
    <row r="67" spans="1:4" x14ac:dyDescent="0.25">
      <c r="A67" s="21" t="s">
        <v>574</v>
      </c>
      <c r="B67" s="48">
        <v>1.3792462699999999</v>
      </c>
      <c r="C67" s="48">
        <v>50.576893539999965</v>
      </c>
      <c r="D67" s="274">
        <f>Table4124[[#This Row],[Column2]]-Table4124[[#This Row],[Column3]]</f>
        <v>-49.197647269999962</v>
      </c>
    </row>
    <row r="68" spans="1:4" x14ac:dyDescent="0.25">
      <c r="A68" s="21" t="s">
        <v>493</v>
      </c>
      <c r="B68" s="48">
        <v>0.26825567999999961</v>
      </c>
      <c r="C68" s="48">
        <v>48.620046369999905</v>
      </c>
      <c r="D68" s="274">
        <f>Table4124[[#This Row],[Column2]]-Table4124[[#This Row],[Column3]]</f>
        <v>-48.351790689999902</v>
      </c>
    </row>
    <row r="69" spans="1:4" x14ac:dyDescent="0.25">
      <c r="A69" s="21" t="s">
        <v>583</v>
      </c>
      <c r="B69" s="48">
        <v>1.081519299999999</v>
      </c>
      <c r="C69" s="48">
        <v>49.154394299999979</v>
      </c>
      <c r="D69" s="274">
        <f>Table4124[[#This Row],[Column2]]-Table4124[[#This Row],[Column3]]</f>
        <v>-48.072874999999982</v>
      </c>
    </row>
    <row r="70" spans="1:4" x14ac:dyDescent="0.25">
      <c r="A70" s="21" t="s">
        <v>621</v>
      </c>
      <c r="B70" s="48">
        <v>0.29992622999999979</v>
      </c>
      <c r="C70" s="48">
        <v>48.006700349999932</v>
      </c>
      <c r="D70" s="274">
        <f>Table4124[[#This Row],[Column2]]-Table4124[[#This Row],[Column3]]</f>
        <v>-47.706774119999935</v>
      </c>
    </row>
    <row r="71" spans="1:4" x14ac:dyDescent="0.25">
      <c r="A71" s="21" t="s">
        <v>635</v>
      </c>
      <c r="B71" s="48">
        <v>1.68765962</v>
      </c>
      <c r="C71" s="48">
        <v>48.585038029999964</v>
      </c>
      <c r="D71" s="274">
        <f>Table4124[[#This Row],[Column2]]-Table4124[[#This Row],[Column3]]</f>
        <v>-46.897378409999966</v>
      </c>
    </row>
    <row r="72" spans="1:4" x14ac:dyDescent="0.25">
      <c r="A72" s="21" t="s">
        <v>636</v>
      </c>
      <c r="B72" s="48">
        <v>0.13546552999999989</v>
      </c>
      <c r="C72" s="48">
        <v>46.658341879999988</v>
      </c>
      <c r="D72" s="274">
        <f>Table4124[[#This Row],[Column2]]-Table4124[[#This Row],[Column3]]</f>
        <v>-46.52287634999999</v>
      </c>
    </row>
    <row r="73" spans="1:4" x14ac:dyDescent="0.25">
      <c r="A73" s="21" t="s">
        <v>515</v>
      </c>
      <c r="B73" s="48">
        <v>3.0848021499999962</v>
      </c>
      <c r="C73" s="48">
        <v>49.554303439999892</v>
      </c>
      <c r="D73" s="274">
        <f>Table4124[[#This Row],[Column2]]-Table4124[[#This Row],[Column3]]</f>
        <v>-46.469501289999897</v>
      </c>
    </row>
    <row r="74" spans="1:4" x14ac:dyDescent="0.25">
      <c r="A74" s="21" t="s">
        <v>630</v>
      </c>
      <c r="B74" s="48">
        <v>2.6828500599999954</v>
      </c>
      <c r="C74" s="48">
        <v>48.408540459999969</v>
      </c>
      <c r="D74" s="274">
        <f>Table4124[[#This Row],[Column2]]-Table4124[[#This Row],[Column3]]</f>
        <v>-45.725690399999976</v>
      </c>
    </row>
    <row r="75" spans="1:4" x14ac:dyDescent="0.25">
      <c r="A75" s="21" t="s">
        <v>539</v>
      </c>
      <c r="B75" s="48"/>
      <c r="C75" s="48">
        <v>44.928937279999886</v>
      </c>
      <c r="D75" s="274">
        <f>Table4124[[#This Row],[Column2]]-Table4124[[#This Row],[Column3]]</f>
        <v>-44.928937279999886</v>
      </c>
    </row>
    <row r="76" spans="1:4" x14ac:dyDescent="0.25">
      <c r="A76" s="21" t="s">
        <v>581</v>
      </c>
      <c r="B76" s="48">
        <v>0.29005017999999982</v>
      </c>
      <c r="C76" s="48">
        <v>42.166375809999941</v>
      </c>
      <c r="D76" s="274">
        <f>Table4124[[#This Row],[Column2]]-Table4124[[#This Row],[Column3]]</f>
        <v>-41.87632562999994</v>
      </c>
    </row>
    <row r="77" spans="1:4" x14ac:dyDescent="0.25">
      <c r="A77" s="21" t="s">
        <v>522</v>
      </c>
      <c r="B77" s="48">
        <v>0.16958001999999975</v>
      </c>
      <c r="C77" s="48">
        <v>41.229846259999952</v>
      </c>
      <c r="D77" s="274">
        <f>Table4124[[#This Row],[Column2]]-Table4124[[#This Row],[Column3]]</f>
        <v>-41.060266239999955</v>
      </c>
    </row>
    <row r="78" spans="1:4" x14ac:dyDescent="0.25">
      <c r="A78" s="21" t="s">
        <v>722</v>
      </c>
      <c r="B78" s="48">
        <v>57.343365189999943</v>
      </c>
      <c r="C78" s="48">
        <v>98.37277892999974</v>
      </c>
      <c r="D78" s="274">
        <f>Table4124[[#This Row],[Column2]]-Table4124[[#This Row],[Column3]]</f>
        <v>-41.029413739999796</v>
      </c>
    </row>
    <row r="79" spans="1:4" x14ac:dyDescent="0.25">
      <c r="A79" s="21" t="s">
        <v>697</v>
      </c>
      <c r="B79" s="48">
        <v>0.42162134999999967</v>
      </c>
      <c r="C79" s="48">
        <v>40.973244339999887</v>
      </c>
      <c r="D79" s="274">
        <f>Table4124[[#This Row],[Column2]]-Table4124[[#This Row],[Column3]]</f>
        <v>-40.551622989999885</v>
      </c>
    </row>
    <row r="80" spans="1:4" x14ac:dyDescent="0.25">
      <c r="A80" s="21" t="s">
        <v>582</v>
      </c>
      <c r="B80" s="48">
        <v>2.2751748600000004</v>
      </c>
      <c r="C80" s="48">
        <v>42.276335820000021</v>
      </c>
      <c r="D80" s="274">
        <f>Table4124[[#This Row],[Column2]]-Table4124[[#This Row],[Column3]]</f>
        <v>-40.001160960000021</v>
      </c>
    </row>
    <row r="81" spans="1:4" x14ac:dyDescent="0.25">
      <c r="A81" s="21" t="s">
        <v>717</v>
      </c>
      <c r="B81" s="48">
        <v>0.17791057000000002</v>
      </c>
      <c r="C81" s="48">
        <v>39.039566099999881</v>
      </c>
      <c r="D81" s="274">
        <f>Table4124[[#This Row],[Column2]]-Table4124[[#This Row],[Column3]]</f>
        <v>-38.861655529999879</v>
      </c>
    </row>
    <row r="82" spans="1:4" x14ac:dyDescent="0.25">
      <c r="A82" s="21" t="s">
        <v>665</v>
      </c>
      <c r="B82" s="48">
        <v>368.13993011999997</v>
      </c>
      <c r="C82" s="48">
        <v>406.79369464000001</v>
      </c>
      <c r="D82" s="274">
        <f>Table4124[[#This Row],[Column2]]-Table4124[[#This Row],[Column3]]</f>
        <v>-38.653764520000038</v>
      </c>
    </row>
    <row r="83" spans="1:4" x14ac:dyDescent="0.25">
      <c r="A83" s="21" t="s">
        <v>627</v>
      </c>
      <c r="B83" s="48"/>
      <c r="C83" s="48">
        <v>38.361162569999948</v>
      </c>
      <c r="D83" s="274">
        <f>Table4124[[#This Row],[Column2]]-Table4124[[#This Row],[Column3]]</f>
        <v>-38.361162569999948</v>
      </c>
    </row>
    <row r="84" spans="1:4" x14ac:dyDescent="0.25">
      <c r="A84" s="21" t="s">
        <v>970</v>
      </c>
      <c r="B84" s="48">
        <v>9.2715559999999975E-2</v>
      </c>
      <c r="C84" s="48">
        <v>36.686092219999864</v>
      </c>
      <c r="D84" s="274">
        <f>Table4124[[#This Row],[Column2]]-Table4124[[#This Row],[Column3]]</f>
        <v>-36.593376659999862</v>
      </c>
    </row>
    <row r="85" spans="1:4" x14ac:dyDescent="0.25">
      <c r="A85" s="21" t="s">
        <v>519</v>
      </c>
      <c r="B85" s="48">
        <v>0.11179</v>
      </c>
      <c r="C85" s="48">
        <v>34.680944559999979</v>
      </c>
      <c r="D85" s="274">
        <f>Table4124[[#This Row],[Column2]]-Table4124[[#This Row],[Column3]]</f>
        <v>-34.56915455999998</v>
      </c>
    </row>
    <row r="86" spans="1:4" x14ac:dyDescent="0.25">
      <c r="A86" s="21" t="s">
        <v>725</v>
      </c>
      <c r="B86" s="48">
        <v>0.33753358</v>
      </c>
      <c r="C86" s="48">
        <v>34.870388729999988</v>
      </c>
      <c r="D86" s="274">
        <f>Table4124[[#This Row],[Column2]]-Table4124[[#This Row],[Column3]]</f>
        <v>-34.532855149999989</v>
      </c>
    </row>
    <row r="87" spans="1:4" x14ac:dyDescent="0.25">
      <c r="A87" s="21" t="s">
        <v>558</v>
      </c>
      <c r="B87" s="48">
        <v>0.38053708999999997</v>
      </c>
      <c r="C87" s="48">
        <v>34.314728059999936</v>
      </c>
      <c r="D87" s="274">
        <f>Table4124[[#This Row],[Column2]]-Table4124[[#This Row],[Column3]]</f>
        <v>-33.934190969999939</v>
      </c>
    </row>
    <row r="88" spans="1:4" x14ac:dyDescent="0.25">
      <c r="A88" s="21" t="s">
        <v>971</v>
      </c>
      <c r="B88" s="48">
        <v>3.1336999999999997E-2</v>
      </c>
      <c r="C88" s="48">
        <v>33.701909719999954</v>
      </c>
      <c r="D88" s="274">
        <f>Table4124[[#This Row],[Column2]]-Table4124[[#This Row],[Column3]]</f>
        <v>-33.670572719999953</v>
      </c>
    </row>
    <row r="89" spans="1:4" x14ac:dyDescent="0.25">
      <c r="A89" s="21" t="s">
        <v>645</v>
      </c>
      <c r="B89" s="48">
        <v>1.3537983299999996</v>
      </c>
      <c r="C89" s="48">
        <v>33.994848779999877</v>
      </c>
      <c r="D89" s="274">
        <f>Table4124[[#This Row],[Column2]]-Table4124[[#This Row],[Column3]]</f>
        <v>-32.641050449999881</v>
      </c>
    </row>
    <row r="90" spans="1:4" x14ac:dyDescent="0.25">
      <c r="A90" s="21" t="s">
        <v>972</v>
      </c>
      <c r="B90" s="48">
        <v>0.32222657999999887</v>
      </c>
      <c r="C90" s="48">
        <v>32.662712689999971</v>
      </c>
      <c r="D90" s="274">
        <f>Table4124[[#This Row],[Column2]]-Table4124[[#This Row],[Column3]]</f>
        <v>-32.340486109999972</v>
      </c>
    </row>
    <row r="91" spans="1:4" x14ac:dyDescent="0.25">
      <c r="A91" s="21" t="s">
        <v>681</v>
      </c>
      <c r="B91" s="48">
        <v>1.15695E-2</v>
      </c>
      <c r="C91" s="48">
        <v>31.427240040000001</v>
      </c>
      <c r="D91" s="274">
        <f>Table4124[[#This Row],[Column2]]-Table4124[[#This Row],[Column3]]</f>
        <v>-31.415670540000001</v>
      </c>
    </row>
    <row r="92" spans="1:4" x14ac:dyDescent="0.25">
      <c r="A92" s="21" t="s">
        <v>710</v>
      </c>
      <c r="B92" s="48"/>
      <c r="C92" s="48">
        <v>31.178176599999858</v>
      </c>
      <c r="D92" s="274">
        <f>Table4124[[#This Row],[Column2]]-Table4124[[#This Row],[Column3]]</f>
        <v>-31.178176599999858</v>
      </c>
    </row>
    <row r="93" spans="1:4" x14ac:dyDescent="0.25">
      <c r="A93" s="21" t="s">
        <v>579</v>
      </c>
      <c r="B93" s="48">
        <v>0.91459129999999922</v>
      </c>
      <c r="C93" s="48">
        <v>31.886093939999952</v>
      </c>
      <c r="D93" s="274">
        <f>Table4124[[#This Row],[Column2]]-Table4124[[#This Row],[Column3]]</f>
        <v>-30.971502639999954</v>
      </c>
    </row>
    <row r="94" spans="1:4" x14ac:dyDescent="0.25">
      <c r="A94" s="21" t="s">
        <v>528</v>
      </c>
      <c r="B94" s="48">
        <v>0.59367957999999976</v>
      </c>
      <c r="C94" s="48">
        <v>30.906191669999959</v>
      </c>
      <c r="D94" s="274">
        <f>Table4124[[#This Row],[Column2]]-Table4124[[#This Row],[Column3]]</f>
        <v>-30.312512089999959</v>
      </c>
    </row>
    <row r="95" spans="1:4" x14ac:dyDescent="0.25">
      <c r="A95" s="21" t="s">
        <v>609</v>
      </c>
      <c r="B95" s="48">
        <v>1.3561836800000002</v>
      </c>
      <c r="C95" s="48">
        <v>30.742665859999946</v>
      </c>
      <c r="D95" s="274">
        <f>Table4124[[#This Row],[Column2]]-Table4124[[#This Row],[Column3]]</f>
        <v>-29.386482179999945</v>
      </c>
    </row>
    <row r="96" spans="1:4" x14ac:dyDescent="0.25">
      <c r="A96" s="21" t="s">
        <v>611</v>
      </c>
      <c r="B96" s="48">
        <v>0.30308757000000003</v>
      </c>
      <c r="C96" s="48">
        <v>29.572566529999975</v>
      </c>
      <c r="D96" s="274">
        <f>Table4124[[#This Row],[Column2]]-Table4124[[#This Row],[Column3]]</f>
        <v>-29.269478959999976</v>
      </c>
    </row>
    <row r="97" spans="1:4" x14ac:dyDescent="0.25">
      <c r="A97" s="21" t="s">
        <v>720</v>
      </c>
      <c r="B97" s="48">
        <v>4.7720743900000002</v>
      </c>
      <c r="C97" s="48">
        <v>33.665823439999869</v>
      </c>
      <c r="D97" s="274">
        <f>Table4124[[#This Row],[Column2]]-Table4124[[#This Row],[Column3]]</f>
        <v>-28.893749049999869</v>
      </c>
    </row>
    <row r="98" spans="1:4" x14ac:dyDescent="0.25">
      <c r="A98" s="21" t="s">
        <v>629</v>
      </c>
      <c r="B98" s="48">
        <v>9.6064120099999855</v>
      </c>
      <c r="C98" s="48">
        <v>37.817532169999936</v>
      </c>
      <c r="D98" s="274">
        <f>Table4124[[#This Row],[Column2]]-Table4124[[#This Row],[Column3]]</f>
        <v>-28.21112015999995</v>
      </c>
    </row>
    <row r="99" spans="1:4" x14ac:dyDescent="0.25">
      <c r="A99" s="21" t="s">
        <v>973</v>
      </c>
      <c r="B99" s="48">
        <v>8.2808522600000014</v>
      </c>
      <c r="C99" s="48">
        <v>36.445000699999937</v>
      </c>
      <c r="D99" s="274">
        <f>Table4124[[#This Row],[Column2]]-Table4124[[#This Row],[Column3]]</f>
        <v>-28.164148439999934</v>
      </c>
    </row>
    <row r="100" spans="1:4" x14ac:dyDescent="0.25">
      <c r="A100" s="21" t="s">
        <v>531</v>
      </c>
      <c r="B100" s="48"/>
      <c r="C100" s="48">
        <v>26.820407919999997</v>
      </c>
      <c r="D100" s="274">
        <f>Table4124[[#This Row],[Column2]]-Table4124[[#This Row],[Column3]]</f>
        <v>-26.820407919999997</v>
      </c>
    </row>
    <row r="101" spans="1:4" x14ac:dyDescent="0.25">
      <c r="A101" s="21" t="s">
        <v>552</v>
      </c>
      <c r="B101" s="48">
        <v>0.18268443999999989</v>
      </c>
      <c r="C101" s="48">
        <v>26.840406729999888</v>
      </c>
      <c r="D101" s="274">
        <f>Table4124[[#This Row],[Column2]]-Table4124[[#This Row],[Column3]]</f>
        <v>-26.657722289999889</v>
      </c>
    </row>
    <row r="102" spans="1:4" x14ac:dyDescent="0.25">
      <c r="A102" s="21" t="s">
        <v>480</v>
      </c>
      <c r="B102" s="48">
        <v>6.67389E-3</v>
      </c>
      <c r="C102" s="48">
        <v>26.638665229999987</v>
      </c>
      <c r="D102" s="274">
        <f>Table4124[[#This Row],[Column2]]-Table4124[[#This Row],[Column3]]</f>
        <v>-26.631991339999988</v>
      </c>
    </row>
    <row r="103" spans="1:4" x14ac:dyDescent="0.25">
      <c r="A103" s="21" t="s">
        <v>502</v>
      </c>
      <c r="B103" s="48">
        <v>0.21534347999999987</v>
      </c>
      <c r="C103" s="48">
        <v>26.254933609999973</v>
      </c>
      <c r="D103" s="274">
        <f>Table4124[[#This Row],[Column2]]-Table4124[[#This Row],[Column3]]</f>
        <v>-26.039590129999972</v>
      </c>
    </row>
    <row r="104" spans="1:4" x14ac:dyDescent="0.25">
      <c r="A104" s="21" t="s">
        <v>597</v>
      </c>
      <c r="B104" s="48">
        <v>4.8660982299999889</v>
      </c>
      <c r="C104" s="48">
        <v>28.466546039999933</v>
      </c>
      <c r="D104" s="274">
        <f>Table4124[[#This Row],[Column2]]-Table4124[[#This Row],[Column3]]</f>
        <v>-23.600447809999945</v>
      </c>
    </row>
    <row r="105" spans="1:4" x14ac:dyDescent="0.25">
      <c r="A105" s="21" t="s">
        <v>622</v>
      </c>
      <c r="B105" s="48">
        <v>1.0232039499999999</v>
      </c>
      <c r="C105" s="48">
        <v>23.027133639999963</v>
      </c>
      <c r="D105" s="274">
        <f>Table4124[[#This Row],[Column2]]-Table4124[[#This Row],[Column3]]</f>
        <v>-22.003929689999964</v>
      </c>
    </row>
    <row r="106" spans="1:4" x14ac:dyDescent="0.25">
      <c r="A106" s="21" t="s">
        <v>703</v>
      </c>
      <c r="B106" s="48">
        <v>4.1939049999999894E-2</v>
      </c>
      <c r="C106" s="48">
        <v>21.870803399999975</v>
      </c>
      <c r="D106" s="274">
        <f>Table4124[[#This Row],[Column2]]-Table4124[[#This Row],[Column3]]</f>
        <v>-21.828864349999975</v>
      </c>
    </row>
    <row r="107" spans="1:4" x14ac:dyDescent="0.25">
      <c r="A107" s="21" t="s">
        <v>974</v>
      </c>
      <c r="B107" s="48">
        <v>0.18101674999999981</v>
      </c>
      <c r="C107" s="48">
        <v>21.595320609999977</v>
      </c>
      <c r="D107" s="274">
        <f>Table4124[[#This Row],[Column2]]-Table4124[[#This Row],[Column3]]</f>
        <v>-21.414303859999976</v>
      </c>
    </row>
    <row r="108" spans="1:4" x14ac:dyDescent="0.25">
      <c r="A108" s="21" t="s">
        <v>660</v>
      </c>
      <c r="B108" s="48">
        <v>4.8614530299999998</v>
      </c>
      <c r="C108" s="48">
        <v>26.091042919999964</v>
      </c>
      <c r="D108" s="274">
        <f>Table4124[[#This Row],[Column2]]-Table4124[[#This Row],[Column3]]</f>
        <v>-21.229589889999964</v>
      </c>
    </row>
    <row r="109" spans="1:4" x14ac:dyDescent="0.25">
      <c r="A109" s="21" t="s">
        <v>529</v>
      </c>
      <c r="B109" s="48">
        <v>2.5694802199999978</v>
      </c>
      <c r="C109" s="48">
        <v>23.361794009999965</v>
      </c>
      <c r="D109" s="274">
        <f>Table4124[[#This Row],[Column2]]-Table4124[[#This Row],[Column3]]</f>
        <v>-20.792313789999966</v>
      </c>
    </row>
    <row r="110" spans="1:4" x14ac:dyDescent="0.25">
      <c r="A110" s="21" t="s">
        <v>572</v>
      </c>
      <c r="B110" s="48">
        <v>0.43106354999999996</v>
      </c>
      <c r="C110" s="48">
        <v>20.29538213999999</v>
      </c>
      <c r="D110" s="274">
        <f>Table4124[[#This Row],[Column2]]-Table4124[[#This Row],[Column3]]</f>
        <v>-19.864318589999989</v>
      </c>
    </row>
    <row r="111" spans="1:4" x14ac:dyDescent="0.25">
      <c r="A111" s="21" t="s">
        <v>516</v>
      </c>
      <c r="B111" s="48">
        <v>0.17262237999999996</v>
      </c>
      <c r="C111" s="48">
        <v>19.275938569999962</v>
      </c>
      <c r="D111" s="274">
        <f>Table4124[[#This Row],[Column2]]-Table4124[[#This Row],[Column3]]</f>
        <v>-19.103316189999962</v>
      </c>
    </row>
    <row r="112" spans="1:4" x14ac:dyDescent="0.25">
      <c r="A112" s="21" t="s">
        <v>491</v>
      </c>
      <c r="B112" s="48">
        <v>4.9654779999999975E-2</v>
      </c>
      <c r="C112" s="48">
        <v>18.955084659999958</v>
      </c>
      <c r="D112" s="274">
        <f>Table4124[[#This Row],[Column2]]-Table4124[[#This Row],[Column3]]</f>
        <v>-18.905429879999957</v>
      </c>
    </row>
    <row r="113" spans="1:4" x14ac:dyDescent="0.25">
      <c r="A113" s="21" t="s">
        <v>524</v>
      </c>
      <c r="B113" s="48">
        <v>0.87423404999999976</v>
      </c>
      <c r="C113" s="48">
        <v>19.238859649999966</v>
      </c>
      <c r="D113" s="274">
        <f>Table4124[[#This Row],[Column2]]-Table4124[[#This Row],[Column3]]</f>
        <v>-18.364625599999968</v>
      </c>
    </row>
    <row r="114" spans="1:4" x14ac:dyDescent="0.25">
      <c r="A114" s="21" t="s">
        <v>508</v>
      </c>
      <c r="B114" s="48">
        <v>6.5788253299999884</v>
      </c>
      <c r="C114" s="48">
        <v>24.613253809999964</v>
      </c>
      <c r="D114" s="274">
        <f>Table4124[[#This Row],[Column2]]-Table4124[[#This Row],[Column3]]</f>
        <v>-18.034428479999974</v>
      </c>
    </row>
    <row r="115" spans="1:4" x14ac:dyDescent="0.25">
      <c r="A115" s="21" t="s">
        <v>503</v>
      </c>
      <c r="B115" s="48">
        <v>0.13549885999999978</v>
      </c>
      <c r="C115" s="48">
        <v>17.818634319999969</v>
      </c>
      <c r="D115" s="274">
        <f>Table4124[[#This Row],[Column2]]-Table4124[[#This Row],[Column3]]</f>
        <v>-17.683135459999971</v>
      </c>
    </row>
    <row r="116" spans="1:4" x14ac:dyDescent="0.25">
      <c r="A116" s="21" t="s">
        <v>641</v>
      </c>
      <c r="B116" s="48">
        <v>0.19869104999999979</v>
      </c>
      <c r="C116" s="48">
        <v>17.742710109999976</v>
      </c>
      <c r="D116" s="274">
        <f>Table4124[[#This Row],[Column2]]-Table4124[[#This Row],[Column3]]</f>
        <v>-17.544019059999975</v>
      </c>
    </row>
    <row r="117" spans="1:4" x14ac:dyDescent="0.25">
      <c r="A117" s="21" t="s">
        <v>699</v>
      </c>
      <c r="B117" s="48">
        <v>4.7120000000000002E-2</v>
      </c>
      <c r="C117" s="48">
        <v>17.52947878999997</v>
      </c>
      <c r="D117" s="274">
        <f>Table4124[[#This Row],[Column2]]-Table4124[[#This Row],[Column3]]</f>
        <v>-17.482358789999971</v>
      </c>
    </row>
    <row r="118" spans="1:4" x14ac:dyDescent="0.25">
      <c r="A118" s="21" t="s">
        <v>538</v>
      </c>
      <c r="B118" s="48">
        <v>0.43129624</v>
      </c>
      <c r="C118" s="48">
        <v>17.799310209999991</v>
      </c>
      <c r="D118" s="274">
        <f>Table4124[[#This Row],[Column2]]-Table4124[[#This Row],[Column3]]</f>
        <v>-17.368013969999993</v>
      </c>
    </row>
    <row r="119" spans="1:4" x14ac:dyDescent="0.25">
      <c r="A119" s="21" t="s">
        <v>512</v>
      </c>
      <c r="B119" s="48">
        <v>2.5619787699999996</v>
      </c>
      <c r="C119" s="48">
        <v>18.895427739999977</v>
      </c>
      <c r="D119" s="274">
        <f>Table4124[[#This Row],[Column2]]-Table4124[[#This Row],[Column3]]</f>
        <v>-16.333448969999978</v>
      </c>
    </row>
    <row r="120" spans="1:4" x14ac:dyDescent="0.25">
      <c r="A120" s="21" t="s">
        <v>566</v>
      </c>
      <c r="B120" s="48">
        <v>0.15059723999999991</v>
      </c>
      <c r="C120" s="48">
        <v>15.896280809999976</v>
      </c>
      <c r="D120" s="274">
        <f>Table4124[[#This Row],[Column2]]-Table4124[[#This Row],[Column3]]</f>
        <v>-15.745683569999976</v>
      </c>
    </row>
    <row r="121" spans="1:4" x14ac:dyDescent="0.25">
      <c r="A121" s="21" t="s">
        <v>492</v>
      </c>
      <c r="B121" s="48">
        <v>12.859582549999987</v>
      </c>
      <c r="C121" s="48">
        <v>28.603979259999978</v>
      </c>
      <c r="D121" s="274">
        <f>Table4124[[#This Row],[Column2]]-Table4124[[#This Row],[Column3]]</f>
        <v>-15.744396709999991</v>
      </c>
    </row>
    <row r="122" spans="1:4" x14ac:dyDescent="0.25">
      <c r="A122" s="21" t="s">
        <v>617</v>
      </c>
      <c r="B122" s="48">
        <v>0.50342947999999865</v>
      </c>
      <c r="C122" s="48">
        <v>15.978631569999967</v>
      </c>
      <c r="D122" s="274">
        <f>Table4124[[#This Row],[Column2]]-Table4124[[#This Row],[Column3]]</f>
        <v>-15.475202089999968</v>
      </c>
    </row>
    <row r="123" spans="1:4" x14ac:dyDescent="0.25">
      <c r="A123" s="21" t="s">
        <v>545</v>
      </c>
      <c r="B123" s="48">
        <v>1.0343E-2</v>
      </c>
      <c r="C123" s="48">
        <v>14.141853209999983</v>
      </c>
      <c r="D123" s="274">
        <f>Table4124[[#This Row],[Column2]]-Table4124[[#This Row],[Column3]]</f>
        <v>-14.131510209999982</v>
      </c>
    </row>
    <row r="124" spans="1:4" x14ac:dyDescent="0.25">
      <c r="A124" s="21" t="s">
        <v>501</v>
      </c>
      <c r="B124" s="48">
        <v>0.17354508999999999</v>
      </c>
      <c r="C124" s="48">
        <v>13.128230009999998</v>
      </c>
      <c r="D124" s="274">
        <f>Table4124[[#This Row],[Column2]]-Table4124[[#This Row],[Column3]]</f>
        <v>-12.954684919999998</v>
      </c>
    </row>
    <row r="125" spans="1:4" x14ac:dyDescent="0.25">
      <c r="A125" s="21" t="s">
        <v>554</v>
      </c>
      <c r="B125" s="48">
        <v>0.9767690499999987</v>
      </c>
      <c r="C125" s="48">
        <v>13.804248819999991</v>
      </c>
      <c r="D125" s="274">
        <f>Table4124[[#This Row],[Column2]]-Table4124[[#This Row],[Column3]]</f>
        <v>-12.827479769999993</v>
      </c>
    </row>
    <row r="126" spans="1:4" x14ac:dyDescent="0.25">
      <c r="A126" s="21" t="s">
        <v>643</v>
      </c>
      <c r="B126" s="48">
        <v>3.0072659999999991E-2</v>
      </c>
      <c r="C126" s="48">
        <v>12.819091179999898</v>
      </c>
      <c r="D126" s="274">
        <f>Table4124[[#This Row],[Column2]]-Table4124[[#This Row],[Column3]]</f>
        <v>-12.789018519999898</v>
      </c>
    </row>
    <row r="127" spans="1:4" x14ac:dyDescent="0.25">
      <c r="A127" s="21" t="s">
        <v>594</v>
      </c>
      <c r="B127" s="48">
        <v>0.42510734999999988</v>
      </c>
      <c r="C127" s="48">
        <v>12.550556319999989</v>
      </c>
      <c r="D127" s="274">
        <f>Table4124[[#This Row],[Column2]]-Table4124[[#This Row],[Column3]]</f>
        <v>-12.12544896999999</v>
      </c>
    </row>
    <row r="128" spans="1:4" x14ac:dyDescent="0.25">
      <c r="A128" s="21" t="s">
        <v>639</v>
      </c>
      <c r="B128" s="48"/>
      <c r="C128" s="48">
        <v>11.866155739999995</v>
      </c>
      <c r="D128" s="274">
        <f>Table4124[[#This Row],[Column2]]-Table4124[[#This Row],[Column3]]</f>
        <v>-11.866155739999995</v>
      </c>
    </row>
    <row r="129" spans="1:4" x14ac:dyDescent="0.25">
      <c r="A129" s="21" t="s">
        <v>487</v>
      </c>
      <c r="B129" s="48">
        <v>7.4618379999999956E-2</v>
      </c>
      <c r="C129" s="48">
        <v>11.277655429999996</v>
      </c>
      <c r="D129" s="274">
        <f>Table4124[[#This Row],[Column2]]-Table4124[[#This Row],[Column3]]</f>
        <v>-11.203037049999995</v>
      </c>
    </row>
    <row r="130" spans="1:4" x14ac:dyDescent="0.25">
      <c r="A130" s="21" t="s">
        <v>653</v>
      </c>
      <c r="B130" s="48">
        <v>6.6823011399999999</v>
      </c>
      <c r="C130" s="48">
        <v>17.521485689999984</v>
      </c>
      <c r="D130" s="274">
        <f>Table4124[[#This Row],[Column2]]-Table4124[[#This Row],[Column3]]</f>
        <v>-10.839184549999985</v>
      </c>
    </row>
    <row r="131" spans="1:4" x14ac:dyDescent="0.25">
      <c r="A131" s="21" t="s">
        <v>485</v>
      </c>
      <c r="B131" s="48">
        <v>2.95912999999999E-2</v>
      </c>
      <c r="C131" s="48">
        <v>10.364295739999973</v>
      </c>
      <c r="D131" s="274">
        <f>Table4124[[#This Row],[Column2]]-Table4124[[#This Row],[Column3]]</f>
        <v>-10.334704439999973</v>
      </c>
    </row>
    <row r="132" spans="1:4" x14ac:dyDescent="0.25">
      <c r="A132" s="21" t="s">
        <v>486</v>
      </c>
      <c r="B132" s="48"/>
      <c r="C132" s="48">
        <v>10.333176879999986</v>
      </c>
      <c r="D132" s="274">
        <f>Table4124[[#This Row],[Column2]]-Table4124[[#This Row],[Column3]]</f>
        <v>-10.333176879999986</v>
      </c>
    </row>
    <row r="133" spans="1:4" x14ac:dyDescent="0.25">
      <c r="A133" s="21" t="s">
        <v>557</v>
      </c>
      <c r="B133" s="48">
        <v>0.92478925999999995</v>
      </c>
      <c r="C133" s="48">
        <v>11.156914019999986</v>
      </c>
      <c r="D133" s="274">
        <f>Table4124[[#This Row],[Column2]]-Table4124[[#This Row],[Column3]]</f>
        <v>-10.232124759999985</v>
      </c>
    </row>
    <row r="134" spans="1:4" x14ac:dyDescent="0.25">
      <c r="A134" s="21" t="s">
        <v>650</v>
      </c>
      <c r="B134" s="48">
        <v>0.23914616</v>
      </c>
      <c r="C134" s="48">
        <v>10.448114860000002</v>
      </c>
      <c r="D134" s="274">
        <f>Table4124[[#This Row],[Column2]]-Table4124[[#This Row],[Column3]]</f>
        <v>-10.208968700000002</v>
      </c>
    </row>
    <row r="135" spans="1:4" x14ac:dyDescent="0.25">
      <c r="A135" s="21" t="s">
        <v>618</v>
      </c>
      <c r="B135" s="48">
        <v>6.5242480000000005E-2</v>
      </c>
      <c r="C135" s="48">
        <v>10.20869695999999</v>
      </c>
      <c r="D135" s="274">
        <f>Table4124[[#This Row],[Column2]]-Table4124[[#This Row],[Column3]]</f>
        <v>-10.14345447999999</v>
      </c>
    </row>
    <row r="136" spans="1:4" x14ac:dyDescent="0.25">
      <c r="A136" s="21" t="s">
        <v>569</v>
      </c>
      <c r="B136" s="48">
        <v>6.4887699999999993E-2</v>
      </c>
      <c r="C136" s="48">
        <v>10.159974649999981</v>
      </c>
      <c r="D136" s="274">
        <f>Table4124[[#This Row],[Column2]]-Table4124[[#This Row],[Column3]]</f>
        <v>-10.095086949999981</v>
      </c>
    </row>
    <row r="137" spans="1:4" x14ac:dyDescent="0.25">
      <c r="A137" s="21" t="s">
        <v>696</v>
      </c>
      <c r="B137" s="48">
        <v>1.9250989999999999E-2</v>
      </c>
      <c r="C137" s="48">
        <v>9.0799155999999872</v>
      </c>
      <c r="D137" s="274">
        <f>Table4124[[#This Row],[Column2]]-Table4124[[#This Row],[Column3]]</f>
        <v>-9.0606646099999875</v>
      </c>
    </row>
    <row r="138" spans="1:4" x14ac:dyDescent="0.25">
      <c r="A138" s="21" t="s">
        <v>661</v>
      </c>
      <c r="B138" s="48">
        <v>2.0557348499999977</v>
      </c>
      <c r="C138" s="48">
        <v>11.102129859999987</v>
      </c>
      <c r="D138" s="274">
        <f>Table4124[[#This Row],[Column2]]-Table4124[[#This Row],[Column3]]</f>
        <v>-9.0463950099999906</v>
      </c>
    </row>
    <row r="139" spans="1:4" x14ac:dyDescent="0.25">
      <c r="A139" s="21" t="s">
        <v>646</v>
      </c>
      <c r="B139" s="48">
        <v>0.24756825000000002</v>
      </c>
      <c r="C139" s="48">
        <v>8.7897720799999863</v>
      </c>
      <c r="D139" s="274">
        <f>Table4124[[#This Row],[Column2]]-Table4124[[#This Row],[Column3]]</f>
        <v>-8.5422038299999858</v>
      </c>
    </row>
    <row r="140" spans="1:4" x14ac:dyDescent="0.25">
      <c r="A140" s="21" t="s">
        <v>727</v>
      </c>
      <c r="B140" s="48">
        <v>37.235667249999906</v>
      </c>
      <c r="C140" s="48">
        <v>45.625094309999902</v>
      </c>
      <c r="D140" s="274">
        <f>Table4124[[#This Row],[Column2]]-Table4124[[#This Row],[Column3]]</f>
        <v>-8.3894270599999956</v>
      </c>
    </row>
    <row r="141" spans="1:4" x14ac:dyDescent="0.25">
      <c r="A141" s="21" t="s">
        <v>718</v>
      </c>
      <c r="B141" s="48">
        <v>9.8659639999999896E-2</v>
      </c>
      <c r="C141" s="48">
        <v>8.2925672499999994</v>
      </c>
      <c r="D141" s="274">
        <f>Table4124[[#This Row],[Column2]]-Table4124[[#This Row],[Column3]]</f>
        <v>-8.1939076100000001</v>
      </c>
    </row>
    <row r="142" spans="1:4" x14ac:dyDescent="0.25">
      <c r="A142" s="21" t="s">
        <v>580</v>
      </c>
      <c r="B142" s="48">
        <v>5.9943279999999953E-2</v>
      </c>
      <c r="C142" s="48">
        <v>8.201975459999991</v>
      </c>
      <c r="D142" s="274">
        <f>Table4124[[#This Row],[Column2]]-Table4124[[#This Row],[Column3]]</f>
        <v>-8.1420321799999904</v>
      </c>
    </row>
    <row r="143" spans="1:4" x14ac:dyDescent="0.25">
      <c r="A143" s="21" t="s">
        <v>588</v>
      </c>
      <c r="B143" s="48">
        <v>0.25845763999999888</v>
      </c>
      <c r="C143" s="48">
        <v>8.2824772099999979</v>
      </c>
      <c r="D143" s="274">
        <f>Table4124[[#This Row],[Column2]]-Table4124[[#This Row],[Column3]]</f>
        <v>-8.0240195699999983</v>
      </c>
    </row>
    <row r="144" spans="1:4" x14ac:dyDescent="0.25">
      <c r="A144" s="21" t="s">
        <v>499</v>
      </c>
      <c r="B144" s="48">
        <v>7.1923000000000001E-2</v>
      </c>
      <c r="C144" s="48">
        <v>7.5630171299999871</v>
      </c>
      <c r="D144" s="274">
        <f>Table4124[[#This Row],[Column2]]-Table4124[[#This Row],[Column3]]</f>
        <v>-7.4910941299999871</v>
      </c>
    </row>
    <row r="145" spans="1:4" x14ac:dyDescent="0.25">
      <c r="A145" s="21" t="s">
        <v>603</v>
      </c>
      <c r="B145" s="48"/>
      <c r="C145" s="48">
        <v>7.4293095299999958</v>
      </c>
      <c r="D145" s="274">
        <f>Table4124[[#This Row],[Column2]]-Table4124[[#This Row],[Column3]]</f>
        <v>-7.4293095299999958</v>
      </c>
    </row>
    <row r="146" spans="1:4" x14ac:dyDescent="0.25">
      <c r="A146" s="21" t="s">
        <v>596</v>
      </c>
      <c r="B146" s="48">
        <v>0.11966414999999991</v>
      </c>
      <c r="C146" s="48">
        <v>7.1980073799999884</v>
      </c>
      <c r="D146" s="274">
        <f>Table4124[[#This Row],[Column2]]-Table4124[[#This Row],[Column3]]</f>
        <v>-7.0783432299999882</v>
      </c>
    </row>
    <row r="147" spans="1:4" x14ac:dyDescent="0.25">
      <c r="A147" s="21" t="s">
        <v>616</v>
      </c>
      <c r="B147" s="48">
        <v>2.0879670000000003E-2</v>
      </c>
      <c r="C147" s="48">
        <v>6.9643147999999897</v>
      </c>
      <c r="D147" s="274">
        <f>Table4124[[#This Row],[Column2]]-Table4124[[#This Row],[Column3]]</f>
        <v>-6.9434351299999895</v>
      </c>
    </row>
    <row r="148" spans="1:4" x14ac:dyDescent="0.25">
      <c r="A148" s="21" t="s">
        <v>573</v>
      </c>
      <c r="B148" s="48">
        <v>0.24385575000000004</v>
      </c>
      <c r="C148" s="48">
        <v>7.1282703399999896</v>
      </c>
      <c r="D148" s="274">
        <f>Table4124[[#This Row],[Column2]]-Table4124[[#This Row],[Column3]]</f>
        <v>-6.8844145899999898</v>
      </c>
    </row>
    <row r="149" spans="1:4" x14ac:dyDescent="0.25">
      <c r="A149" s="21" t="s">
        <v>935</v>
      </c>
      <c r="B149" s="48">
        <v>3.2798419699999997</v>
      </c>
      <c r="C149" s="48">
        <v>9.9580436499999827</v>
      </c>
      <c r="D149" s="274">
        <f>Table4124[[#This Row],[Column2]]-Table4124[[#This Row],[Column3]]</f>
        <v>-6.678201679999983</v>
      </c>
    </row>
    <row r="150" spans="1:4" x14ac:dyDescent="0.25">
      <c r="A150" s="21" t="s">
        <v>600</v>
      </c>
      <c r="B150" s="48">
        <v>0.13348631</v>
      </c>
      <c r="C150" s="48">
        <v>6.3690055599999926</v>
      </c>
      <c r="D150" s="274">
        <f>Table4124[[#This Row],[Column2]]-Table4124[[#This Row],[Column3]]</f>
        <v>-6.2355192499999923</v>
      </c>
    </row>
    <row r="151" spans="1:4" x14ac:dyDescent="0.25">
      <c r="A151" s="21" t="s">
        <v>575</v>
      </c>
      <c r="B151" s="48">
        <v>1.488E-3</v>
      </c>
      <c r="C151" s="48">
        <v>6.1649585300000016</v>
      </c>
      <c r="D151" s="274">
        <f>Table4124[[#This Row],[Column2]]-Table4124[[#This Row],[Column3]]</f>
        <v>-6.1634705300000014</v>
      </c>
    </row>
    <row r="152" spans="1:4" x14ac:dyDescent="0.25">
      <c r="A152" s="21" t="s">
        <v>481</v>
      </c>
      <c r="B152" s="48">
        <v>13.061103999999963</v>
      </c>
      <c r="C152" s="48">
        <v>19.065083809999969</v>
      </c>
      <c r="D152" s="274">
        <f>Table4124[[#This Row],[Column2]]-Table4124[[#This Row],[Column3]]</f>
        <v>-6.0039798100000059</v>
      </c>
    </row>
    <row r="153" spans="1:4" x14ac:dyDescent="0.25">
      <c r="A153" s="21" t="s">
        <v>530</v>
      </c>
      <c r="B153" s="48">
        <v>3.7501619999999999E-2</v>
      </c>
      <c r="C153" s="48">
        <v>5.9465390499999993</v>
      </c>
      <c r="D153" s="274">
        <f>Table4124[[#This Row],[Column2]]-Table4124[[#This Row],[Column3]]</f>
        <v>-5.9090374299999997</v>
      </c>
    </row>
    <row r="154" spans="1:4" x14ac:dyDescent="0.25">
      <c r="A154" s="21" t="s">
        <v>632</v>
      </c>
      <c r="B154" s="48"/>
      <c r="C154" s="48">
        <v>5.8042881199999892</v>
      </c>
      <c r="D154" s="274">
        <f>Table4124[[#This Row],[Column2]]-Table4124[[#This Row],[Column3]]</f>
        <v>-5.8042881199999892</v>
      </c>
    </row>
    <row r="155" spans="1:4" x14ac:dyDescent="0.25">
      <c r="A155" s="21" t="s">
        <v>567</v>
      </c>
      <c r="B155" s="48">
        <v>3.3286600000000002E-3</v>
      </c>
      <c r="C155" s="48">
        <v>5.7930077199999879</v>
      </c>
      <c r="D155" s="274">
        <f>Table4124[[#This Row],[Column2]]-Table4124[[#This Row],[Column3]]</f>
        <v>-5.7896790599999877</v>
      </c>
    </row>
    <row r="156" spans="1:4" x14ac:dyDescent="0.25">
      <c r="A156" s="21" t="s">
        <v>509</v>
      </c>
      <c r="B156" s="48">
        <v>9.6429999999999997E-4</v>
      </c>
      <c r="C156" s="48">
        <v>5.2553602199999885</v>
      </c>
      <c r="D156" s="274">
        <f>Table4124[[#This Row],[Column2]]-Table4124[[#This Row],[Column3]]</f>
        <v>-5.2543959199999888</v>
      </c>
    </row>
    <row r="157" spans="1:4" x14ac:dyDescent="0.25">
      <c r="A157" s="21" t="s">
        <v>592</v>
      </c>
      <c r="B157" s="48"/>
      <c r="C157" s="48">
        <v>5.0099687099999874</v>
      </c>
      <c r="D157" s="274">
        <f>Table4124[[#This Row],[Column2]]-Table4124[[#This Row],[Column3]]</f>
        <v>-5.0099687099999874</v>
      </c>
    </row>
    <row r="158" spans="1:4" x14ac:dyDescent="0.25">
      <c r="A158" s="21" t="s">
        <v>595</v>
      </c>
      <c r="B158" s="48"/>
      <c r="C158" s="48">
        <v>4.5706791499999895</v>
      </c>
      <c r="D158" s="274">
        <f>Table4124[[#This Row],[Column2]]-Table4124[[#This Row],[Column3]]</f>
        <v>-4.5706791499999895</v>
      </c>
    </row>
    <row r="159" spans="1:4" x14ac:dyDescent="0.25">
      <c r="A159" s="21" t="s">
        <v>561</v>
      </c>
      <c r="B159" s="48">
        <v>0.18468376999999997</v>
      </c>
      <c r="C159" s="48">
        <v>4.733303419999995</v>
      </c>
      <c r="D159" s="274">
        <f>Table4124[[#This Row],[Column2]]-Table4124[[#This Row],[Column3]]</f>
        <v>-4.5486196499999947</v>
      </c>
    </row>
    <row r="160" spans="1:4" x14ac:dyDescent="0.25">
      <c r="A160" s="21" t="s">
        <v>652</v>
      </c>
      <c r="B160" s="48"/>
      <c r="C160" s="48">
        <v>4.4977940299999908</v>
      </c>
      <c r="D160" s="274">
        <f>Table4124[[#This Row],[Column2]]-Table4124[[#This Row],[Column3]]</f>
        <v>-4.4977940299999908</v>
      </c>
    </row>
    <row r="161" spans="1:4" x14ac:dyDescent="0.25">
      <c r="A161" s="21" t="s">
        <v>550</v>
      </c>
      <c r="B161" s="48">
        <v>4.405758999999998E-2</v>
      </c>
      <c r="C161" s="48">
        <v>3.9275493999999957</v>
      </c>
      <c r="D161" s="274">
        <f>Table4124[[#This Row],[Column2]]-Table4124[[#This Row],[Column3]]</f>
        <v>-3.8834918099999958</v>
      </c>
    </row>
    <row r="162" spans="1:4" x14ac:dyDescent="0.25">
      <c r="A162" s="21" t="s">
        <v>659</v>
      </c>
      <c r="B162" s="48"/>
      <c r="C162" s="48">
        <v>3.6308265299999896</v>
      </c>
      <c r="D162" s="274">
        <f>Table4124[[#This Row],[Column2]]-Table4124[[#This Row],[Column3]]</f>
        <v>-3.6308265299999896</v>
      </c>
    </row>
    <row r="163" spans="1:4" x14ac:dyDescent="0.25">
      <c r="A163" s="21" t="s">
        <v>602</v>
      </c>
      <c r="B163" s="48">
        <v>2.4306400000000002E-2</v>
      </c>
      <c r="C163" s="48">
        <v>3.4488990899999976</v>
      </c>
      <c r="D163" s="274">
        <f>Table4124[[#This Row],[Column2]]-Table4124[[#This Row],[Column3]]</f>
        <v>-3.4245926899999977</v>
      </c>
    </row>
    <row r="164" spans="1:4" x14ac:dyDescent="0.25">
      <c r="A164" s="21" t="s">
        <v>532</v>
      </c>
      <c r="B164" s="48"/>
      <c r="C164" s="48">
        <v>2.9818572799999892</v>
      </c>
      <c r="D164" s="274">
        <f>Table4124[[#This Row],[Column2]]-Table4124[[#This Row],[Column3]]</f>
        <v>-2.9818572799999892</v>
      </c>
    </row>
    <row r="165" spans="1:4" x14ac:dyDescent="0.25">
      <c r="A165" s="21" t="s">
        <v>708</v>
      </c>
      <c r="B165" s="48">
        <v>1.0000000000000001E-5</v>
      </c>
      <c r="C165" s="48">
        <v>2.8365029399999999</v>
      </c>
      <c r="D165" s="274">
        <f>Table4124[[#This Row],[Column2]]-Table4124[[#This Row],[Column3]]</f>
        <v>-2.8364929399999999</v>
      </c>
    </row>
    <row r="166" spans="1:4" x14ac:dyDescent="0.25">
      <c r="A166" s="21" t="s">
        <v>687</v>
      </c>
      <c r="B166" s="48">
        <v>1E-4</v>
      </c>
      <c r="C166" s="48">
        <v>2.7823780999999892</v>
      </c>
      <c r="D166" s="274">
        <f>Table4124[[#This Row],[Column2]]-Table4124[[#This Row],[Column3]]</f>
        <v>-2.782278099999989</v>
      </c>
    </row>
    <row r="167" spans="1:4" x14ac:dyDescent="0.25">
      <c r="A167" s="21" t="s">
        <v>549</v>
      </c>
      <c r="B167" s="48">
        <v>8.6630000000000006E-3</v>
      </c>
      <c r="C167" s="48">
        <v>2.6438110499999983</v>
      </c>
      <c r="D167" s="274">
        <f>Table4124[[#This Row],[Column2]]-Table4124[[#This Row],[Column3]]</f>
        <v>-2.6351480499999984</v>
      </c>
    </row>
    <row r="168" spans="1:4" x14ac:dyDescent="0.25">
      <c r="A168" s="21" t="s">
        <v>625</v>
      </c>
      <c r="B168" s="48"/>
      <c r="C168" s="48">
        <v>2.5366043099999982</v>
      </c>
      <c r="D168" s="274">
        <f>Table4124[[#This Row],[Column2]]-Table4124[[#This Row],[Column3]]</f>
        <v>-2.5366043099999982</v>
      </c>
    </row>
    <row r="169" spans="1:4" x14ac:dyDescent="0.25">
      <c r="A169" s="21" t="s">
        <v>620</v>
      </c>
      <c r="B169" s="48"/>
      <c r="C169" s="48">
        <v>2.5287133100000001</v>
      </c>
      <c r="D169" s="274">
        <f>Table4124[[#This Row],[Column2]]-Table4124[[#This Row],[Column3]]</f>
        <v>-2.5287133100000001</v>
      </c>
    </row>
    <row r="170" spans="1:4" x14ac:dyDescent="0.25">
      <c r="A170" s="21" t="s">
        <v>534</v>
      </c>
      <c r="B170" s="48">
        <v>0.33292342999999958</v>
      </c>
      <c r="C170" s="48">
        <v>2.7764870799999892</v>
      </c>
      <c r="D170" s="274">
        <f>Table4124[[#This Row],[Column2]]-Table4124[[#This Row],[Column3]]</f>
        <v>-2.4435636499999895</v>
      </c>
    </row>
    <row r="171" spans="1:4" x14ac:dyDescent="0.25">
      <c r="A171" s="21" t="s">
        <v>626</v>
      </c>
      <c r="B171" s="48"/>
      <c r="C171" s="48">
        <v>2.224504199999997</v>
      </c>
      <c r="D171" s="274">
        <f>Table4124[[#This Row],[Column2]]-Table4124[[#This Row],[Column3]]</f>
        <v>-2.224504199999997</v>
      </c>
    </row>
    <row r="172" spans="1:4" x14ac:dyDescent="0.25">
      <c r="A172" s="21" t="s">
        <v>507</v>
      </c>
      <c r="B172" s="48">
        <v>1.51096483</v>
      </c>
      <c r="C172" s="48">
        <v>3.7251652499999981</v>
      </c>
      <c r="D172" s="274">
        <f>Table4124[[#This Row],[Column2]]-Table4124[[#This Row],[Column3]]</f>
        <v>-2.2142004199999983</v>
      </c>
    </row>
    <row r="173" spans="1:4" x14ac:dyDescent="0.25">
      <c r="A173" s="21" t="s">
        <v>640</v>
      </c>
      <c r="B173" s="48">
        <v>7.8876800000000011E-3</v>
      </c>
      <c r="C173" s="48">
        <v>2.1625352099999993</v>
      </c>
      <c r="D173" s="274">
        <f>Table4124[[#This Row],[Column2]]-Table4124[[#This Row],[Column3]]</f>
        <v>-2.1546475299999992</v>
      </c>
    </row>
    <row r="174" spans="1:4" x14ac:dyDescent="0.25">
      <c r="A174" s="21" t="s">
        <v>536</v>
      </c>
      <c r="B174" s="48"/>
      <c r="C174" s="48">
        <v>2.1256741399999992</v>
      </c>
      <c r="D174" s="274">
        <f>Table4124[[#This Row],[Column2]]-Table4124[[#This Row],[Column3]]</f>
        <v>-2.1256741399999992</v>
      </c>
    </row>
    <row r="175" spans="1:4" x14ac:dyDescent="0.25">
      <c r="A175" s="21" t="s">
        <v>505</v>
      </c>
      <c r="B175" s="48">
        <v>3.0200000000000002E-4</v>
      </c>
      <c r="C175" s="48">
        <v>2.053983419999998</v>
      </c>
      <c r="D175" s="274">
        <f>Table4124[[#This Row],[Column2]]-Table4124[[#This Row],[Column3]]</f>
        <v>-2.053681419999998</v>
      </c>
    </row>
    <row r="176" spans="1:4" x14ac:dyDescent="0.25">
      <c r="A176" s="21" t="s">
        <v>605</v>
      </c>
      <c r="B176" s="48">
        <v>5.9659999999999999E-3</v>
      </c>
      <c r="C176" s="48">
        <v>2.0584925799999989</v>
      </c>
      <c r="D176" s="274">
        <f>Table4124[[#This Row],[Column2]]-Table4124[[#This Row],[Column3]]</f>
        <v>-2.052526579999999</v>
      </c>
    </row>
    <row r="177" spans="1:4" x14ac:dyDescent="0.25">
      <c r="A177" s="21" t="s">
        <v>606</v>
      </c>
      <c r="B177" s="48">
        <v>6.7739399999999894E-2</v>
      </c>
      <c r="C177" s="48">
        <v>1.977834359999997</v>
      </c>
      <c r="D177" s="274">
        <f>Table4124[[#This Row],[Column2]]-Table4124[[#This Row],[Column3]]</f>
        <v>-1.9100949599999972</v>
      </c>
    </row>
    <row r="178" spans="1:4" x14ac:dyDescent="0.25">
      <c r="A178" s="21" t="s">
        <v>564</v>
      </c>
      <c r="B178" s="48">
        <v>0.31825398999999899</v>
      </c>
      <c r="C178" s="48">
        <v>2.214678189999999</v>
      </c>
      <c r="D178" s="274">
        <f>Table4124[[#This Row],[Column2]]-Table4124[[#This Row],[Column3]]</f>
        <v>-1.8964242</v>
      </c>
    </row>
    <row r="179" spans="1:4" x14ac:dyDescent="0.25">
      <c r="A179" s="21" t="s">
        <v>651</v>
      </c>
      <c r="B179" s="48">
        <v>2.5933699999999898E-3</v>
      </c>
      <c r="C179" s="48">
        <v>1.8889040999999991</v>
      </c>
      <c r="D179" s="274">
        <f>Table4124[[#This Row],[Column2]]-Table4124[[#This Row],[Column3]]</f>
        <v>-1.886310729999999</v>
      </c>
    </row>
    <row r="180" spans="1:4" x14ac:dyDescent="0.25">
      <c r="A180" s="21" t="s">
        <v>513</v>
      </c>
      <c r="B180" s="48">
        <v>2.0961299999999898E-2</v>
      </c>
      <c r="C180" s="48">
        <v>1.588585149999999</v>
      </c>
      <c r="D180" s="274">
        <f>Table4124[[#This Row],[Column2]]-Table4124[[#This Row],[Column3]]</f>
        <v>-1.567623849999999</v>
      </c>
    </row>
    <row r="181" spans="1:4" x14ac:dyDescent="0.25">
      <c r="A181" s="21" t="s">
        <v>975</v>
      </c>
      <c r="B181" s="48">
        <v>1.2190679999999999E-2</v>
      </c>
      <c r="C181" s="48">
        <v>1.5740302999999896</v>
      </c>
      <c r="D181" s="274">
        <f>Table4124[[#This Row],[Column2]]-Table4124[[#This Row],[Column3]]</f>
        <v>-1.5618396199999895</v>
      </c>
    </row>
    <row r="182" spans="1:4" x14ac:dyDescent="0.25">
      <c r="A182" s="21" t="s">
        <v>613</v>
      </c>
      <c r="B182" s="48">
        <v>7.3458900000000008E-3</v>
      </c>
      <c r="C182" s="48">
        <v>1.5135780699999981</v>
      </c>
      <c r="D182" s="274">
        <f>Table4124[[#This Row],[Column2]]-Table4124[[#This Row],[Column3]]</f>
        <v>-1.506232179999998</v>
      </c>
    </row>
    <row r="183" spans="1:4" x14ac:dyDescent="0.25">
      <c r="A183" s="21" t="s">
        <v>601</v>
      </c>
      <c r="B183" s="48">
        <v>4.5000000000000003E-5</v>
      </c>
      <c r="C183" s="48">
        <v>1.2879529299999999</v>
      </c>
      <c r="D183" s="274">
        <f>Table4124[[#This Row],[Column2]]-Table4124[[#This Row],[Column3]]</f>
        <v>-1.2879079299999998</v>
      </c>
    </row>
    <row r="184" spans="1:4" x14ac:dyDescent="0.25">
      <c r="A184" s="21" t="s">
        <v>489</v>
      </c>
      <c r="B184" s="48">
        <v>8.7803315300000015</v>
      </c>
      <c r="C184" s="48">
        <v>10.031272089999996</v>
      </c>
      <c r="D184" s="274">
        <f>Table4124[[#This Row],[Column2]]-Table4124[[#This Row],[Column3]]</f>
        <v>-1.2509405599999948</v>
      </c>
    </row>
    <row r="185" spans="1:4" x14ac:dyDescent="0.25">
      <c r="A185" s="21" t="s">
        <v>631</v>
      </c>
      <c r="B185" s="48"/>
      <c r="C185" s="48">
        <v>1.2310126299999979</v>
      </c>
      <c r="D185" s="274">
        <f>Table4124[[#This Row],[Column2]]-Table4124[[#This Row],[Column3]]</f>
        <v>-1.2310126299999979</v>
      </c>
    </row>
    <row r="186" spans="1:4" x14ac:dyDescent="0.25">
      <c r="A186" s="21" t="s">
        <v>688</v>
      </c>
      <c r="B186" s="48">
        <v>0.49875000000000003</v>
      </c>
      <c r="C186" s="48">
        <v>1.717014779999998</v>
      </c>
      <c r="D186" s="274">
        <f>Table4124[[#This Row],[Column2]]-Table4124[[#This Row],[Column3]]</f>
        <v>-1.2182647799999979</v>
      </c>
    </row>
    <row r="187" spans="1:4" x14ac:dyDescent="0.25">
      <c r="A187" s="21" t="s">
        <v>674</v>
      </c>
      <c r="B187" s="48">
        <v>0.1017973399999999</v>
      </c>
      <c r="C187" s="48">
        <v>1.2952922499999988</v>
      </c>
      <c r="D187" s="274">
        <f>Table4124[[#This Row],[Column2]]-Table4124[[#This Row],[Column3]]</f>
        <v>-1.193494909999999</v>
      </c>
    </row>
    <row r="188" spans="1:4" x14ac:dyDescent="0.25">
      <c r="A188" s="21" t="s">
        <v>685</v>
      </c>
      <c r="B188" s="48">
        <v>1.7704999999999999E-3</v>
      </c>
      <c r="C188" s="48">
        <v>1.1788096299999999</v>
      </c>
      <c r="D188" s="274">
        <f>Table4124[[#This Row],[Column2]]-Table4124[[#This Row],[Column3]]</f>
        <v>-1.17703913</v>
      </c>
    </row>
    <row r="189" spans="1:4" x14ac:dyDescent="0.25">
      <c r="A189" s="21" t="s">
        <v>593</v>
      </c>
      <c r="B189" s="48">
        <v>1.005786E-2</v>
      </c>
      <c r="C189" s="48">
        <v>1.1812732499999987</v>
      </c>
      <c r="D189" s="274">
        <f>Table4124[[#This Row],[Column2]]-Table4124[[#This Row],[Column3]]</f>
        <v>-1.1712153899999986</v>
      </c>
    </row>
    <row r="190" spans="1:4" x14ac:dyDescent="0.25">
      <c r="A190" s="21" t="s">
        <v>644</v>
      </c>
      <c r="B190" s="48"/>
      <c r="C190" s="48">
        <v>1.1263991499999979</v>
      </c>
      <c r="D190" s="274">
        <f>Table4124[[#This Row],[Column2]]-Table4124[[#This Row],[Column3]]</f>
        <v>-1.1263991499999979</v>
      </c>
    </row>
    <row r="191" spans="1:4" x14ac:dyDescent="0.25">
      <c r="A191" s="21" t="s">
        <v>638</v>
      </c>
      <c r="B191" s="48">
        <v>8.7500000000000008E-3</v>
      </c>
      <c r="C191" s="48">
        <v>0.91574637999999764</v>
      </c>
      <c r="D191" s="274">
        <f>Table4124[[#This Row],[Column2]]-Table4124[[#This Row],[Column3]]</f>
        <v>-0.9069963799999976</v>
      </c>
    </row>
    <row r="192" spans="1:4" x14ac:dyDescent="0.25">
      <c r="A192" s="21" t="s">
        <v>642</v>
      </c>
      <c r="B192" s="48">
        <v>0.40710116000000002</v>
      </c>
      <c r="C192" s="48">
        <v>1.0337652599999996</v>
      </c>
      <c r="D192" s="274">
        <f>Table4124[[#This Row],[Column2]]-Table4124[[#This Row],[Column3]]</f>
        <v>-0.6266640999999995</v>
      </c>
    </row>
    <row r="193" spans="1:4" x14ac:dyDescent="0.25">
      <c r="A193" s="21" t="s">
        <v>686</v>
      </c>
      <c r="B193" s="48"/>
      <c r="C193" s="48">
        <v>0.617558099999999</v>
      </c>
      <c r="D193" s="274">
        <f>Table4124[[#This Row],[Column2]]-Table4124[[#This Row],[Column3]]</f>
        <v>-0.617558099999999</v>
      </c>
    </row>
    <row r="194" spans="1:4" x14ac:dyDescent="0.25">
      <c r="A194" s="21" t="s">
        <v>533</v>
      </c>
      <c r="B194" s="48">
        <v>5.8310999999999997E-4</v>
      </c>
      <c r="C194" s="48">
        <v>0.60632556999999998</v>
      </c>
      <c r="D194" s="274">
        <f>Table4124[[#This Row],[Column2]]-Table4124[[#This Row],[Column3]]</f>
        <v>-0.60574245999999998</v>
      </c>
    </row>
    <row r="195" spans="1:4" x14ac:dyDescent="0.25">
      <c r="A195" s="21" t="s">
        <v>590</v>
      </c>
      <c r="B195" s="48">
        <v>0.456613299999999</v>
      </c>
      <c r="C195" s="48">
        <v>1.018907019999999</v>
      </c>
      <c r="D195" s="274">
        <f>Table4124[[#This Row],[Column2]]-Table4124[[#This Row],[Column3]]</f>
        <v>-0.56229372</v>
      </c>
    </row>
    <row r="196" spans="1:4" x14ac:dyDescent="0.25">
      <c r="A196" s="21" t="s">
        <v>578</v>
      </c>
      <c r="B196" s="48"/>
      <c r="C196" s="48">
        <v>0.50130900999999972</v>
      </c>
      <c r="D196" s="274">
        <f>Table4124[[#This Row],[Column2]]-Table4124[[#This Row],[Column3]]</f>
        <v>-0.50130900999999972</v>
      </c>
    </row>
    <row r="197" spans="1:4" x14ac:dyDescent="0.25">
      <c r="A197" s="21" t="s">
        <v>669</v>
      </c>
      <c r="B197" s="48"/>
      <c r="C197" s="48">
        <v>0.49706108000000004</v>
      </c>
      <c r="D197" s="274">
        <f>Table4124[[#This Row],[Column2]]-Table4124[[#This Row],[Column3]]</f>
        <v>-0.49706108000000004</v>
      </c>
    </row>
    <row r="198" spans="1:4" x14ac:dyDescent="0.25">
      <c r="A198" s="21" t="s">
        <v>673</v>
      </c>
      <c r="B198" s="48">
        <v>0.92582759999999997</v>
      </c>
      <c r="C198" s="48">
        <v>1.2664709399999901</v>
      </c>
      <c r="D198" s="274">
        <f>Table4124[[#This Row],[Column2]]-Table4124[[#This Row],[Column3]]</f>
        <v>-0.34064333999999008</v>
      </c>
    </row>
    <row r="199" spans="1:4" x14ac:dyDescent="0.25">
      <c r="A199" s="21" t="s">
        <v>577</v>
      </c>
      <c r="B199" s="48"/>
      <c r="C199" s="48">
        <v>0.32229212999999901</v>
      </c>
      <c r="D199" s="274">
        <f>Table4124[[#This Row],[Column2]]-Table4124[[#This Row],[Column3]]</f>
        <v>-0.32229212999999901</v>
      </c>
    </row>
    <row r="200" spans="1:4" x14ac:dyDescent="0.25">
      <c r="A200" s="21" t="s">
        <v>707</v>
      </c>
      <c r="B200" s="48">
        <v>1E-4</v>
      </c>
      <c r="C200" s="48">
        <v>0.3057704499999998</v>
      </c>
      <c r="D200" s="274">
        <f>Table4124[[#This Row],[Column2]]-Table4124[[#This Row],[Column3]]</f>
        <v>-0.30567044999999982</v>
      </c>
    </row>
    <row r="201" spans="1:4" x14ac:dyDescent="0.25">
      <c r="A201" s="21" t="s">
        <v>634</v>
      </c>
      <c r="B201" s="48">
        <v>1.1E-4</v>
      </c>
      <c r="C201" s="48">
        <v>0.28751431999999988</v>
      </c>
      <c r="D201" s="274">
        <f>Table4124[[#This Row],[Column2]]-Table4124[[#This Row],[Column3]]</f>
        <v>-0.28740431999999988</v>
      </c>
    </row>
    <row r="202" spans="1:4" x14ac:dyDescent="0.25">
      <c r="A202" s="21" t="s">
        <v>698</v>
      </c>
      <c r="B202" s="48"/>
      <c r="C202" s="48">
        <v>0.25956456</v>
      </c>
      <c r="D202" s="274">
        <f>Table4124[[#This Row],[Column2]]-Table4124[[#This Row],[Column3]]</f>
        <v>-0.25956456</v>
      </c>
    </row>
    <row r="203" spans="1:4" x14ac:dyDescent="0.25">
      <c r="A203" s="21" t="s">
        <v>568</v>
      </c>
      <c r="B203" s="48"/>
      <c r="C203" s="48">
        <v>0.23492968999999889</v>
      </c>
      <c r="D203" s="274">
        <f>Table4124[[#This Row],[Column2]]-Table4124[[#This Row],[Column3]]</f>
        <v>-0.23492968999999889</v>
      </c>
    </row>
    <row r="204" spans="1:4" x14ac:dyDescent="0.25">
      <c r="A204" s="21" t="s">
        <v>675</v>
      </c>
      <c r="B204" s="48">
        <v>0.14751549999999997</v>
      </c>
      <c r="C204" s="48">
        <v>0.36463069999999997</v>
      </c>
      <c r="D204" s="274">
        <f>Table4124[[#This Row],[Column2]]-Table4124[[#This Row],[Column3]]</f>
        <v>-0.21711520000000001</v>
      </c>
    </row>
    <row r="205" spans="1:4" x14ac:dyDescent="0.25">
      <c r="A205" s="21" t="s">
        <v>623</v>
      </c>
      <c r="B205" s="48">
        <v>4.4403441800000003</v>
      </c>
      <c r="C205" s="48">
        <v>4.6567663299999982</v>
      </c>
      <c r="D205" s="274">
        <f>Table4124[[#This Row],[Column2]]-Table4124[[#This Row],[Column3]]</f>
        <v>-0.21642214999999787</v>
      </c>
    </row>
    <row r="206" spans="1:4" x14ac:dyDescent="0.25">
      <c r="A206" s="21" t="s">
        <v>711</v>
      </c>
      <c r="B206" s="48">
        <v>3.5460000000000003E-5</v>
      </c>
      <c r="C206" s="48">
        <v>0.18775260000000002</v>
      </c>
      <c r="D206" s="274">
        <f>Table4124[[#This Row],[Column2]]-Table4124[[#This Row],[Column3]]</f>
        <v>-0.18771714000000003</v>
      </c>
    </row>
    <row r="207" spans="1:4" x14ac:dyDescent="0.25">
      <c r="A207" s="21" t="s">
        <v>615</v>
      </c>
      <c r="B207" s="48">
        <v>1.7223829999999999E-2</v>
      </c>
      <c r="C207" s="48">
        <v>0.15732330999999902</v>
      </c>
      <c r="D207" s="274">
        <f>Table4124[[#This Row],[Column2]]-Table4124[[#This Row],[Column3]]</f>
        <v>-0.14009947999999903</v>
      </c>
    </row>
    <row r="208" spans="1:4" x14ac:dyDescent="0.25">
      <c r="A208" s="21" t="s">
        <v>676</v>
      </c>
      <c r="B208" s="48"/>
      <c r="C208" s="48">
        <v>0.10460111</v>
      </c>
      <c r="D208" s="274">
        <f>Table4124[[#This Row],[Column2]]-Table4124[[#This Row],[Column3]]</f>
        <v>-0.10460111</v>
      </c>
    </row>
    <row r="209" spans="1:4" x14ac:dyDescent="0.25">
      <c r="A209" s="21" t="s">
        <v>682</v>
      </c>
      <c r="B209" s="48">
        <v>0.26379893999999998</v>
      </c>
      <c r="C209" s="48">
        <v>0.3614074499999998</v>
      </c>
      <c r="D209" s="274">
        <f>Table4124[[#This Row],[Column2]]-Table4124[[#This Row],[Column3]]</f>
        <v>-9.7608509999999815E-2</v>
      </c>
    </row>
    <row r="210" spans="1:4" x14ac:dyDescent="0.25">
      <c r="A210" s="21" t="s">
        <v>721</v>
      </c>
      <c r="B210" s="48"/>
      <c r="C210" s="48">
        <v>8.9243579999999906E-2</v>
      </c>
      <c r="D210" s="274">
        <f>Table4124[[#This Row],[Column2]]-Table4124[[#This Row],[Column3]]</f>
        <v>-8.9243579999999906E-2</v>
      </c>
    </row>
    <row r="211" spans="1:4" x14ac:dyDescent="0.25">
      <c r="A211" s="21" t="s">
        <v>892</v>
      </c>
      <c r="B211" s="48"/>
      <c r="C211" s="48">
        <v>8.8340439999999909E-2</v>
      </c>
      <c r="D211" s="274">
        <f>Table4124[[#This Row],[Column2]]-Table4124[[#This Row],[Column3]]</f>
        <v>-8.8340439999999909E-2</v>
      </c>
    </row>
    <row r="212" spans="1:4" x14ac:dyDescent="0.25">
      <c r="A212" s="21" t="s">
        <v>610</v>
      </c>
      <c r="B212" s="48"/>
      <c r="C212" s="48">
        <v>8.804623999999997E-2</v>
      </c>
      <c r="D212" s="274">
        <f>Table4124[[#This Row],[Column2]]-Table4124[[#This Row],[Column3]]</f>
        <v>-8.804623999999997E-2</v>
      </c>
    </row>
    <row r="213" spans="1:4" x14ac:dyDescent="0.25">
      <c r="A213" s="21" t="s">
        <v>678</v>
      </c>
      <c r="B213" s="48"/>
      <c r="C213" s="48">
        <v>5.9575159999999794E-2</v>
      </c>
      <c r="D213" s="274">
        <f>Table4124[[#This Row],[Column2]]-Table4124[[#This Row],[Column3]]</f>
        <v>-5.9575159999999794E-2</v>
      </c>
    </row>
    <row r="214" spans="1:4" x14ac:dyDescent="0.25">
      <c r="A214" s="21" t="s">
        <v>677</v>
      </c>
      <c r="B214" s="48"/>
      <c r="C214" s="48">
        <v>4.3710049999999979E-2</v>
      </c>
      <c r="D214" s="274">
        <f>Table4124[[#This Row],[Column2]]-Table4124[[#This Row],[Column3]]</f>
        <v>-4.3710049999999979E-2</v>
      </c>
    </row>
    <row r="215" spans="1:4" x14ac:dyDescent="0.25">
      <c r="A215" s="21" t="s">
        <v>679</v>
      </c>
      <c r="B215" s="48"/>
      <c r="C215" s="48">
        <v>4.0614809999999793E-2</v>
      </c>
      <c r="D215" s="274">
        <f>Table4124[[#This Row],[Column2]]-Table4124[[#This Row],[Column3]]</f>
        <v>-4.0614809999999793E-2</v>
      </c>
    </row>
    <row r="216" spans="1:4" x14ac:dyDescent="0.25">
      <c r="A216" s="21" t="s">
        <v>585</v>
      </c>
      <c r="B216" s="48"/>
      <c r="C216" s="48">
        <v>3.6968939999999999E-2</v>
      </c>
      <c r="D216" s="274">
        <f>Table4124[[#This Row],[Column2]]-Table4124[[#This Row],[Column3]]</f>
        <v>-3.6968939999999999E-2</v>
      </c>
    </row>
    <row r="217" spans="1:4" x14ac:dyDescent="0.25">
      <c r="A217" s="21" t="s">
        <v>656</v>
      </c>
      <c r="B217" s="48">
        <v>5.0000000000000002E-5</v>
      </c>
      <c r="C217" s="48">
        <v>3.0595489999999899E-2</v>
      </c>
      <c r="D217" s="274">
        <f>Table4124[[#This Row],[Column2]]-Table4124[[#This Row],[Column3]]</f>
        <v>-3.0545489999999897E-2</v>
      </c>
    </row>
    <row r="218" spans="1:4" x14ac:dyDescent="0.25">
      <c r="A218" s="21" t="s">
        <v>671</v>
      </c>
      <c r="B218" s="48">
        <v>2.36987E-3</v>
      </c>
      <c r="C218" s="48">
        <v>2.8527079999999969E-2</v>
      </c>
      <c r="D218" s="274">
        <f>Table4124[[#This Row],[Column2]]-Table4124[[#This Row],[Column3]]</f>
        <v>-2.6157209999999969E-2</v>
      </c>
    </row>
    <row r="219" spans="1:4" x14ac:dyDescent="0.25">
      <c r="A219" s="21" t="s">
        <v>716</v>
      </c>
      <c r="B219" s="48"/>
      <c r="C219" s="48">
        <v>2.1148149999999886E-2</v>
      </c>
      <c r="D219" s="274">
        <f>Table4124[[#This Row],[Column2]]-Table4124[[#This Row],[Column3]]</f>
        <v>-2.1148149999999886E-2</v>
      </c>
    </row>
    <row r="220" spans="1:4" x14ac:dyDescent="0.25">
      <c r="A220" s="21" t="s">
        <v>649</v>
      </c>
      <c r="B220" s="48"/>
      <c r="C220" s="48">
        <v>1.36851E-2</v>
      </c>
      <c r="D220" s="274">
        <f>Table4124[[#This Row],[Column2]]-Table4124[[#This Row],[Column3]]</f>
        <v>-1.36851E-2</v>
      </c>
    </row>
    <row r="221" spans="1:4" x14ac:dyDescent="0.25">
      <c r="A221" s="21" t="s">
        <v>586</v>
      </c>
      <c r="B221" s="48">
        <v>2.346343E-2</v>
      </c>
      <c r="C221" s="48">
        <v>3.2717779999999898E-2</v>
      </c>
      <c r="D221" s="274">
        <f>Table4124[[#This Row],[Column2]]-Table4124[[#This Row],[Column3]]</f>
        <v>-9.2543499999998974E-3</v>
      </c>
    </row>
    <row r="222" spans="1:4" x14ac:dyDescent="0.25">
      <c r="A222" s="21" t="s">
        <v>692</v>
      </c>
      <c r="B222" s="48"/>
      <c r="C222" s="48">
        <v>5.2608000000000004E-3</v>
      </c>
      <c r="D222" s="274">
        <f>Table4124[[#This Row],[Column2]]-Table4124[[#This Row],[Column3]]</f>
        <v>-5.2608000000000004E-3</v>
      </c>
    </row>
    <row r="223" spans="1:4" x14ac:dyDescent="0.25">
      <c r="A223" s="21" t="s">
        <v>587</v>
      </c>
      <c r="B223" s="48"/>
      <c r="C223" s="48">
        <v>4.3981000000000003E-3</v>
      </c>
      <c r="D223" s="274">
        <f>Table4124[[#This Row],[Column2]]-Table4124[[#This Row],[Column3]]</f>
        <v>-4.3981000000000003E-3</v>
      </c>
    </row>
    <row r="224" spans="1:4" x14ac:dyDescent="0.25">
      <c r="A224" s="21" t="s">
        <v>684</v>
      </c>
      <c r="B224" s="48"/>
      <c r="C224" s="48">
        <v>3.7704099999999897E-3</v>
      </c>
      <c r="D224" s="274">
        <f>Table4124[[#This Row],[Column2]]-Table4124[[#This Row],[Column3]]</f>
        <v>-3.7704099999999897E-3</v>
      </c>
    </row>
    <row r="225" spans="1:4" x14ac:dyDescent="0.25">
      <c r="A225" s="21" t="s">
        <v>664</v>
      </c>
      <c r="B225" s="48"/>
      <c r="C225" s="48">
        <v>2.8990500000000002E-3</v>
      </c>
      <c r="D225" s="274">
        <f>Table4124[[#This Row],[Column2]]-Table4124[[#This Row],[Column3]]</f>
        <v>-2.8990500000000002E-3</v>
      </c>
    </row>
    <row r="226" spans="1:4" x14ac:dyDescent="0.25">
      <c r="A226" s="21" t="s">
        <v>894</v>
      </c>
      <c r="B226" s="48"/>
      <c r="C226" s="48">
        <v>1.8345200000000001E-3</v>
      </c>
      <c r="D226" s="274">
        <f>Table4124[[#This Row],[Column2]]-Table4124[[#This Row],[Column3]]</f>
        <v>-1.8345200000000001E-3</v>
      </c>
    </row>
    <row r="227" spans="1:4" x14ac:dyDescent="0.25">
      <c r="A227" s="21" t="s">
        <v>893</v>
      </c>
      <c r="B227" s="48"/>
      <c r="C227" s="48">
        <v>2.5483999999999999E-4</v>
      </c>
      <c r="D227" s="274">
        <f>Table4124[[#This Row],[Column2]]-Table4124[[#This Row],[Column3]]</f>
        <v>-2.5483999999999999E-4</v>
      </c>
    </row>
    <row r="228" spans="1:4" x14ac:dyDescent="0.25">
      <c r="A228" s="21" t="s">
        <v>946</v>
      </c>
      <c r="B228" s="48"/>
      <c r="C228" s="48"/>
      <c r="D228" s="274">
        <f>Table4124[[#This Row],[Column2]]-Table4124[[#This Row],[Column3]]</f>
        <v>0</v>
      </c>
    </row>
    <row r="229" spans="1:4" x14ac:dyDescent="0.25">
      <c r="A229" s="21" t="s">
        <v>976</v>
      </c>
      <c r="B229" s="48"/>
      <c r="C229" s="48"/>
      <c r="D229" s="274">
        <f>Table4124[[#This Row],[Column2]]-Table4124[[#This Row],[Column3]]</f>
        <v>0</v>
      </c>
    </row>
    <row r="230" spans="1:4" x14ac:dyDescent="0.25">
      <c r="A230" s="21" t="s">
        <v>662</v>
      </c>
      <c r="B230" s="48">
        <v>1.5E-3</v>
      </c>
      <c r="C230" s="48"/>
      <c r="D230" s="274">
        <f>Table4124[[#This Row],[Column2]]-Table4124[[#This Row],[Column3]]</f>
        <v>1.5E-3</v>
      </c>
    </row>
    <row r="231" spans="1:4" x14ac:dyDescent="0.25">
      <c r="A231" s="21" t="s">
        <v>589</v>
      </c>
      <c r="B231" s="48">
        <v>0.20353857</v>
      </c>
      <c r="C231" s="48">
        <v>4.5797349999999994E-2</v>
      </c>
      <c r="D231" s="274">
        <f>Table4124[[#This Row],[Column2]]-Table4124[[#This Row],[Column3]]</f>
        <v>0.15774122000000002</v>
      </c>
    </row>
    <row r="232" spans="1:4" x14ac:dyDescent="0.25">
      <c r="A232" s="21" t="s">
        <v>657</v>
      </c>
      <c r="B232" s="48">
        <v>0.69590890000000005</v>
      </c>
      <c r="C232" s="48">
        <v>0.416633789999999</v>
      </c>
      <c r="D232" s="274">
        <f>Table4124[[#This Row],[Column2]]-Table4124[[#This Row],[Column3]]</f>
        <v>0.27927511000000105</v>
      </c>
    </row>
    <row r="233" spans="1:4" x14ac:dyDescent="0.25">
      <c r="A233" s="21" t="s">
        <v>666</v>
      </c>
      <c r="B233" s="48">
        <v>0.56573296000000006</v>
      </c>
      <c r="C233" s="48">
        <v>1.7472500000000001E-3</v>
      </c>
      <c r="D233" s="274">
        <f>Table4124[[#This Row],[Column2]]-Table4124[[#This Row],[Column3]]</f>
        <v>0.56398571000000008</v>
      </c>
    </row>
    <row r="234" spans="1:4" x14ac:dyDescent="0.25">
      <c r="A234" s="21" t="s">
        <v>648</v>
      </c>
      <c r="B234" s="48">
        <v>0.73413551999999993</v>
      </c>
      <c r="C234" s="48">
        <v>5.9846999999999895E-3</v>
      </c>
      <c r="D234" s="274">
        <f>Table4124[[#This Row],[Column2]]-Table4124[[#This Row],[Column3]]</f>
        <v>0.72815081999999998</v>
      </c>
    </row>
    <row r="235" spans="1:4" x14ac:dyDescent="0.25">
      <c r="A235" s="21" t="s">
        <v>689</v>
      </c>
      <c r="B235" s="48">
        <v>0.94356980999999873</v>
      </c>
      <c r="C235" s="48">
        <v>2.4664500000000002E-3</v>
      </c>
      <c r="D235" s="274">
        <f>Table4124[[#This Row],[Column2]]-Table4124[[#This Row],[Column3]]</f>
        <v>0.94110335999999872</v>
      </c>
    </row>
    <row r="236" spans="1:4" x14ac:dyDescent="0.25">
      <c r="A236" s="21" t="s">
        <v>706</v>
      </c>
      <c r="B236" s="48">
        <v>2.3685702200000001</v>
      </c>
      <c r="C236" s="48">
        <v>1.2564188699999999</v>
      </c>
      <c r="D236" s="274">
        <f>Table4124[[#This Row],[Column2]]-Table4124[[#This Row],[Column3]]</f>
        <v>1.1121513500000002</v>
      </c>
    </row>
    <row r="237" spans="1:4" x14ac:dyDescent="0.25">
      <c r="A237" s="21" t="s">
        <v>633</v>
      </c>
      <c r="B237" s="48">
        <v>1.9248800399999981</v>
      </c>
      <c r="C237" s="48"/>
      <c r="D237" s="274">
        <f>Table4124[[#This Row],[Column2]]-Table4124[[#This Row],[Column3]]</f>
        <v>1.9248800399999981</v>
      </c>
    </row>
    <row r="238" spans="1:4" x14ac:dyDescent="0.25">
      <c r="A238" s="21" t="s">
        <v>714</v>
      </c>
      <c r="B238" s="48">
        <v>2.9984471999999887</v>
      </c>
      <c r="C238" s="48">
        <v>1.06267406</v>
      </c>
      <c r="D238" s="274">
        <f>Table4124[[#This Row],[Column2]]-Table4124[[#This Row],[Column3]]</f>
        <v>1.9357731399999887</v>
      </c>
    </row>
    <row r="239" spans="1:4" x14ac:dyDescent="0.25">
      <c r="A239" s="21" t="s">
        <v>680</v>
      </c>
      <c r="B239" s="48">
        <v>3.0900599999999998</v>
      </c>
      <c r="C239" s="48">
        <v>1.3761999999999999E-3</v>
      </c>
      <c r="D239" s="274">
        <f>Table4124[[#This Row],[Column2]]-Table4124[[#This Row],[Column3]]</f>
        <v>3.0886837999999996</v>
      </c>
    </row>
    <row r="240" spans="1:4" x14ac:dyDescent="0.25">
      <c r="A240" s="21" t="s">
        <v>637</v>
      </c>
      <c r="B240" s="48">
        <v>7.3268005199999902</v>
      </c>
      <c r="C240" s="48">
        <v>2.6538045999999986</v>
      </c>
      <c r="D240" s="274">
        <f>Table4124[[#This Row],[Column2]]-Table4124[[#This Row],[Column3]]</f>
        <v>4.6729959199999911</v>
      </c>
    </row>
    <row r="241" spans="1:4" x14ac:dyDescent="0.25">
      <c r="A241" s="21" t="s">
        <v>614</v>
      </c>
      <c r="B241" s="48">
        <v>17.588608399999988</v>
      </c>
      <c r="C241" s="48">
        <v>3.3659390799999995</v>
      </c>
      <c r="D241" s="274">
        <f>Table4124[[#This Row],[Column2]]-Table4124[[#This Row],[Column3]]</f>
        <v>14.222669319999987</v>
      </c>
    </row>
    <row r="242" spans="1:4" x14ac:dyDescent="0.25">
      <c r="A242" s="21" t="s">
        <v>668</v>
      </c>
      <c r="B242" s="48">
        <v>20.620972839999887</v>
      </c>
      <c r="C242" s="48">
        <v>0.47252340999999992</v>
      </c>
      <c r="D242" s="274">
        <f>Table4124[[#This Row],[Column2]]-Table4124[[#This Row],[Column3]]</f>
        <v>20.148449429999886</v>
      </c>
    </row>
    <row r="243" spans="1:4" x14ac:dyDescent="0.25">
      <c r="A243" s="21" t="s">
        <v>712</v>
      </c>
      <c r="B243" s="48">
        <v>50.565590210000003</v>
      </c>
      <c r="C243" s="48">
        <v>27.721165149999873</v>
      </c>
      <c r="D243" s="274">
        <f>Table4124[[#This Row],[Column2]]-Table4124[[#This Row],[Column3]]</f>
        <v>22.84442506000013</v>
      </c>
    </row>
    <row r="244" spans="1:4" x14ac:dyDescent="0.25">
      <c r="A244" s="21" t="s">
        <v>663</v>
      </c>
      <c r="B244" s="48">
        <v>31.57461065999998</v>
      </c>
      <c r="C244" s="48">
        <v>0.25325131000000001</v>
      </c>
      <c r="D244" s="274">
        <f>Table4124[[#This Row],[Column2]]-Table4124[[#This Row],[Column3]]</f>
        <v>31.32135934999998</v>
      </c>
    </row>
    <row r="245" spans="1:4" x14ac:dyDescent="0.25">
      <c r="A245" s="21" t="s">
        <v>598</v>
      </c>
      <c r="B245" s="48">
        <v>50.242646659999991</v>
      </c>
      <c r="C245" s="48">
        <v>17.338849179999979</v>
      </c>
      <c r="D245" s="274">
        <f>Table4124[[#This Row],[Column2]]-Table4124[[#This Row],[Column3]]</f>
        <v>32.903797480000009</v>
      </c>
    </row>
    <row r="246" spans="1:4" x14ac:dyDescent="0.25">
      <c r="A246" s="21" t="s">
        <v>670</v>
      </c>
      <c r="B246" s="48">
        <v>48.587030639999881</v>
      </c>
      <c r="C246" s="48">
        <v>13.153706339999982</v>
      </c>
      <c r="D246" s="274">
        <f>Table4124[[#This Row],[Column2]]-Table4124[[#This Row],[Column3]]</f>
        <v>35.433324299999896</v>
      </c>
    </row>
    <row r="247" spans="1:4" x14ac:dyDescent="0.25">
      <c r="A247" s="21" t="s">
        <v>535</v>
      </c>
      <c r="B247" s="48">
        <v>60.856075769999904</v>
      </c>
      <c r="C247" s="48">
        <v>12.979445159999969</v>
      </c>
      <c r="D247" s="274">
        <f>Table4124[[#This Row],[Column2]]-Table4124[[#This Row],[Column3]]</f>
        <v>47.876630609999935</v>
      </c>
    </row>
    <row r="248" spans="1:4" x14ac:dyDescent="0.25">
      <c r="A248" s="21" t="s">
        <v>977</v>
      </c>
      <c r="B248" s="48">
        <v>58.340690799999877</v>
      </c>
      <c r="C248" s="48">
        <v>3.6656344299999883</v>
      </c>
      <c r="D248" s="274">
        <f>Table4124[[#This Row],[Column2]]-Table4124[[#This Row],[Column3]]</f>
        <v>54.675056369999886</v>
      </c>
    </row>
    <row r="249" spans="1:4" x14ac:dyDescent="0.25">
      <c r="A249" s="21" t="s">
        <v>672</v>
      </c>
      <c r="B249" s="48">
        <v>68.317405429999781</v>
      </c>
      <c r="C249" s="48">
        <v>3.6834439299999961</v>
      </c>
      <c r="D249" s="274">
        <f>Table4124[[#This Row],[Column2]]-Table4124[[#This Row],[Column3]]</f>
        <v>64.633961499999785</v>
      </c>
    </row>
    <row r="250" spans="1:4" x14ac:dyDescent="0.25">
      <c r="A250" s="21" t="s">
        <v>526</v>
      </c>
      <c r="B250" s="48">
        <v>439.59916320999906</v>
      </c>
      <c r="C250" s="48">
        <v>359.99542470999904</v>
      </c>
      <c r="D250" s="274">
        <f>Table4124[[#This Row],[Column2]]-Table4124[[#This Row],[Column3]]</f>
        <v>79.60373850000002</v>
      </c>
    </row>
    <row r="251" spans="1:4" s="3" customFormat="1" ht="13" x14ac:dyDescent="0.3">
      <c r="A251" s="21" t="s">
        <v>724</v>
      </c>
      <c r="B251" s="48">
        <v>88.168211240000005</v>
      </c>
      <c r="C251" s="48">
        <v>4.9774094599999907</v>
      </c>
      <c r="D251" s="274">
        <f>Table4124[[#This Row],[Column2]]-Table4124[[#This Row],[Column3]]</f>
        <v>83.190801780000015</v>
      </c>
    </row>
    <row r="252" spans="1:4" x14ac:dyDescent="0.25">
      <c r="A252" s="21" t="s">
        <v>683</v>
      </c>
      <c r="B252" s="48">
        <v>121.23935694999983</v>
      </c>
      <c r="C252" s="48">
        <v>2.8830559399999971</v>
      </c>
      <c r="D252" s="274">
        <f>Table4124[[#This Row],[Column2]]-Table4124[[#This Row],[Column3]]</f>
        <v>118.35630100999984</v>
      </c>
    </row>
    <row r="253" spans="1:4" x14ac:dyDescent="0.25">
      <c r="A253" s="21" t="s">
        <v>723</v>
      </c>
      <c r="B253" s="48">
        <v>229.06592244999985</v>
      </c>
      <c r="C253" s="48">
        <v>8.0761269999999996E-2</v>
      </c>
      <c r="D253" s="274">
        <f>Table4124[[#This Row],[Column2]]-Table4124[[#This Row],[Column3]]</f>
        <v>228.98516117999984</v>
      </c>
    </row>
    <row r="254" spans="1:4" x14ac:dyDescent="0.25">
      <c r="A254" s="21" t="s">
        <v>726</v>
      </c>
      <c r="B254" s="48">
        <v>463.09247098999987</v>
      </c>
      <c r="C254" s="48">
        <v>46.378525329999945</v>
      </c>
      <c r="D254" s="274">
        <f>Table4124[[#This Row],[Column2]]-Table4124[[#This Row],[Column3]]</f>
        <v>416.71394565999992</v>
      </c>
    </row>
    <row r="255" spans="1:4" x14ac:dyDescent="0.25">
      <c r="A255" s="21" t="s">
        <v>715</v>
      </c>
      <c r="B255" s="48">
        <v>744.43361601999914</v>
      </c>
      <c r="C255" s="48">
        <v>35.030646829999874</v>
      </c>
      <c r="D255" s="274">
        <f>Table4124[[#This Row],[Column2]]-Table4124[[#This Row],[Column3]]</f>
        <v>709.40296918999923</v>
      </c>
    </row>
    <row r="256" spans="1:4" x14ac:dyDescent="0.25">
      <c r="A256" s="21" t="s">
        <v>604</v>
      </c>
      <c r="B256" s="48">
        <v>1228.3712236099987</v>
      </c>
      <c r="C256" s="48">
        <v>254.61976199</v>
      </c>
      <c r="D256" s="274">
        <f>Table4124[[#This Row],[Column2]]-Table4124[[#This Row],[Column3]]</f>
        <v>973.75146161999862</v>
      </c>
    </row>
    <row r="257" spans="1:4" x14ac:dyDescent="0.25">
      <c r="A257" s="21" t="s">
        <v>691</v>
      </c>
      <c r="B257" s="48">
        <v>1980.1807040200001</v>
      </c>
      <c r="C257" s="48"/>
      <c r="D257" s="274">
        <f>Table4124[[#This Row],[Column2]]-Table4124[[#This Row],[Column3]]</f>
        <v>1980.1807040200001</v>
      </c>
    </row>
    <row r="258" spans="1:4" x14ac:dyDescent="0.25">
      <c r="A258" s="54" t="s">
        <v>479</v>
      </c>
      <c r="B258" s="49">
        <v>2104.9002070000001</v>
      </c>
      <c r="C258" s="49">
        <v>0.124803</v>
      </c>
      <c r="D258" s="274">
        <f>Table4124[[#This Row],[Column2]]-Table4124[[#This Row],[Column3]]</f>
        <v>2104.775404</v>
      </c>
    </row>
    <row r="259" spans="1:4" ht="13" x14ac:dyDescent="0.3">
      <c r="A259" s="273" t="s">
        <v>312</v>
      </c>
      <c r="B259" s="328">
        <f>SUM(B3:B258)</f>
        <v>9968.3558629299932</v>
      </c>
      <c r="C259" s="328">
        <f>SUM(C3:C258)</f>
        <v>14412.248196369976</v>
      </c>
      <c r="D259" s="329">
        <f>B259-C259</f>
        <v>-4443.8923334399824</v>
      </c>
    </row>
  </sheetData>
  <hyperlinks>
    <hyperlink ref="F1" location="'Table of Content'!A1" display="Table of Content" xr:uid="{5450E80F-CE67-46DB-AE37-459B73307831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R132"/>
  <sheetViews>
    <sheetView zoomScaleNormal="100" workbookViewId="0">
      <selection activeCell="A5" sqref="A5"/>
    </sheetView>
  </sheetViews>
  <sheetFormatPr defaultColWidth="9.1796875" defaultRowHeight="12.5" x14ac:dyDescent="0.25"/>
  <cols>
    <col min="1" max="1" width="23" style="20" customWidth="1"/>
    <col min="2" max="2" width="13.26953125" style="20" bestFit="1" customWidth="1"/>
    <col min="3" max="3" width="11.6328125" style="41" customWidth="1"/>
    <col min="4" max="4" width="14.90625" style="20" bestFit="1" customWidth="1"/>
    <col min="5" max="5" width="11.6328125" style="41" customWidth="1"/>
    <col min="6" max="6" width="13.1796875" style="20" customWidth="1"/>
    <col min="7" max="7" width="11.6328125" style="41" customWidth="1"/>
    <col min="8" max="8" width="12.81640625" style="41" bestFit="1" customWidth="1"/>
    <col min="9" max="9" width="15.36328125" style="41" bestFit="1" customWidth="1"/>
    <col min="10" max="10" width="9.1796875" style="20"/>
    <col min="11" max="11" width="11" style="20" bestFit="1" customWidth="1"/>
    <col min="12" max="12" width="11.54296875" style="20" bestFit="1" customWidth="1"/>
    <col min="13" max="16384" width="9.1796875" style="20"/>
  </cols>
  <sheetData>
    <row r="1" spans="1:18" ht="13" x14ac:dyDescent="0.3">
      <c r="A1" s="11" t="s">
        <v>905</v>
      </c>
      <c r="B1" s="11"/>
      <c r="C1" s="282"/>
      <c r="D1" s="281"/>
      <c r="K1" s="51" t="s">
        <v>239</v>
      </c>
      <c r="Q1" s="553"/>
      <c r="R1" s="553"/>
    </row>
    <row r="2" spans="1:18" ht="13" x14ac:dyDescent="0.3">
      <c r="A2" s="554" t="s">
        <v>904</v>
      </c>
      <c r="B2" s="556">
        <v>45597</v>
      </c>
      <c r="C2" s="556"/>
      <c r="D2" s="556">
        <v>45934</v>
      </c>
      <c r="E2" s="556"/>
      <c r="F2" s="556">
        <v>45962</v>
      </c>
      <c r="G2" s="556"/>
      <c r="H2" s="551" t="s">
        <v>233</v>
      </c>
      <c r="I2" s="551" t="s">
        <v>903</v>
      </c>
    </row>
    <row r="3" spans="1:18" ht="13" x14ac:dyDescent="0.3">
      <c r="A3" s="555"/>
      <c r="B3" s="280" t="s">
        <v>902</v>
      </c>
      <c r="C3" s="239" t="s">
        <v>234</v>
      </c>
      <c r="D3" s="280" t="s">
        <v>902</v>
      </c>
      <c r="E3" s="26" t="s">
        <v>234</v>
      </c>
      <c r="F3" s="280" t="s">
        <v>902</v>
      </c>
      <c r="G3" s="26" t="s">
        <v>234</v>
      </c>
      <c r="H3" s="552"/>
      <c r="I3" s="552"/>
      <c r="J3" s="279"/>
      <c r="K3" s="39"/>
    </row>
    <row r="4" spans="1:18" x14ac:dyDescent="0.25">
      <c r="A4" s="58" t="s">
        <v>235</v>
      </c>
      <c r="B4" s="47">
        <v>2118.9673777800058</v>
      </c>
      <c r="C4" s="278">
        <f t="shared" ref="C4:C35" si="0">(B4/$B$132)*100</f>
        <v>17.887261503738028</v>
      </c>
      <c r="D4" s="47">
        <v>2907.4608357100001</v>
      </c>
      <c r="E4" s="278">
        <f t="shared" ref="E4:E35" si="1">(D4/$D$132)*100</f>
        <v>22.033536711192571</v>
      </c>
      <c r="F4" s="47">
        <v>2919.4246560100014</v>
      </c>
      <c r="G4" s="204">
        <f t="shared" ref="G4:G35" si="2">(F4/$F$132)*100</f>
        <v>29.286922499092004</v>
      </c>
      <c r="H4" s="204">
        <f t="shared" ref="H4:H34" si="3">((F4/D4)-1)*100</f>
        <v>0.41148689444272524</v>
      </c>
      <c r="I4" s="204">
        <f t="shared" ref="I4:I42" si="4">((F4/B4)-1)*100</f>
        <v>37.775818855154661</v>
      </c>
      <c r="K4" s="241"/>
    </row>
    <row r="5" spans="1:18" x14ac:dyDescent="0.25">
      <c r="A5" s="21" t="s">
        <v>256</v>
      </c>
      <c r="B5" s="48">
        <v>37.916900339999984</v>
      </c>
      <c r="C5" s="276">
        <f t="shared" si="0"/>
        <v>0.32007548530705499</v>
      </c>
      <c r="D5" s="48">
        <v>904.68381801999976</v>
      </c>
      <c r="E5" s="276">
        <f t="shared" si="1"/>
        <v>6.8559424331842482</v>
      </c>
      <c r="F5" s="48">
        <v>1231.2867341199999</v>
      </c>
      <c r="G5" s="203">
        <f t="shared" si="2"/>
        <v>12.351954033852966</v>
      </c>
      <c r="H5" s="203">
        <f t="shared" si="3"/>
        <v>36.101332818664389</v>
      </c>
      <c r="I5" s="203">
        <f t="shared" si="4"/>
        <v>3147.3296157625746</v>
      </c>
      <c r="K5" s="241"/>
    </row>
    <row r="6" spans="1:18" x14ac:dyDescent="0.25">
      <c r="A6" s="21" t="s">
        <v>246</v>
      </c>
      <c r="B6" s="48">
        <v>3095.3354369299905</v>
      </c>
      <c r="C6" s="276">
        <f t="shared" si="0"/>
        <v>26.129271730535454</v>
      </c>
      <c r="D6" s="48">
        <v>3825.3855257099904</v>
      </c>
      <c r="E6" s="276">
        <f t="shared" si="1"/>
        <v>28.989822108683022</v>
      </c>
      <c r="F6" s="48">
        <v>1102.42703938</v>
      </c>
      <c r="G6" s="203">
        <f t="shared" si="2"/>
        <v>11.059266488264837</v>
      </c>
      <c r="H6" s="203">
        <f t="shared" si="3"/>
        <v>-71.181282723774885</v>
      </c>
      <c r="I6" s="203">
        <f t="shared" si="4"/>
        <v>-64.384246494673718</v>
      </c>
      <c r="K6" s="241"/>
    </row>
    <row r="7" spans="1:18" ht="12.65" customHeight="1" x14ac:dyDescent="0.25">
      <c r="A7" s="21" t="s">
        <v>247</v>
      </c>
      <c r="B7" s="48">
        <v>1142.0565429699961</v>
      </c>
      <c r="C7" s="276">
        <f t="shared" si="0"/>
        <v>9.6406694366203851</v>
      </c>
      <c r="D7" s="48">
        <v>1037.5480235099985</v>
      </c>
      <c r="E7" s="276">
        <f t="shared" si="1"/>
        <v>7.8628238718992893</v>
      </c>
      <c r="F7" s="48">
        <v>1039.0293147999985</v>
      </c>
      <c r="G7" s="203">
        <f t="shared" si="2"/>
        <v>10.423276707685645</v>
      </c>
      <c r="H7" s="203">
        <f t="shared" si="3"/>
        <v>0.14276845567000596</v>
      </c>
      <c r="I7" s="203">
        <f t="shared" si="4"/>
        <v>-9.0212020415441412</v>
      </c>
      <c r="K7" s="241"/>
    </row>
    <row r="8" spans="1:18" x14ac:dyDescent="0.25">
      <c r="A8" s="21" t="s">
        <v>245</v>
      </c>
      <c r="B8" s="48">
        <v>1738.0440972299973</v>
      </c>
      <c r="C8" s="276">
        <f t="shared" si="0"/>
        <v>14.67169792144338</v>
      </c>
      <c r="D8" s="48">
        <v>1259.0933085399984</v>
      </c>
      <c r="E8" s="276">
        <f t="shared" si="1"/>
        <v>9.5417548865308532</v>
      </c>
      <c r="F8" s="48">
        <v>951.96165632999964</v>
      </c>
      <c r="G8" s="203">
        <f t="shared" si="2"/>
        <v>9.5498361958577807</v>
      </c>
      <c r="H8" s="203" t="s">
        <v>240</v>
      </c>
      <c r="I8" s="203">
        <f t="shared" si="4"/>
        <v>-45.227991749623286</v>
      </c>
      <c r="K8" s="277"/>
    </row>
    <row r="9" spans="1:18" x14ac:dyDescent="0.25">
      <c r="A9" s="21" t="s">
        <v>248</v>
      </c>
      <c r="B9" s="48">
        <v>325.78829079999986</v>
      </c>
      <c r="C9" s="276">
        <f t="shared" si="0"/>
        <v>2.7501416083624401</v>
      </c>
      <c r="D9" s="48">
        <v>267.49433988999897</v>
      </c>
      <c r="E9" s="276">
        <f t="shared" si="1"/>
        <v>2.0271455717006219</v>
      </c>
      <c r="F9" s="48">
        <v>441.80428659999956</v>
      </c>
      <c r="G9" s="203">
        <f t="shared" si="2"/>
        <v>4.4320677619763496</v>
      </c>
      <c r="H9" s="203">
        <f t="shared" si="3"/>
        <v>65.163975724376684</v>
      </c>
      <c r="I9" s="203">
        <f t="shared" si="4"/>
        <v>35.610854986565933</v>
      </c>
      <c r="K9" s="277"/>
    </row>
    <row r="10" spans="1:18" x14ac:dyDescent="0.25">
      <c r="A10" s="21" t="s">
        <v>250</v>
      </c>
      <c r="B10" s="48">
        <v>353.87572583999872</v>
      </c>
      <c r="C10" s="276">
        <f t="shared" si="0"/>
        <v>2.9872416698348703</v>
      </c>
      <c r="D10" s="48">
        <v>63.056369589999868</v>
      </c>
      <c r="E10" s="276">
        <f t="shared" si="1"/>
        <v>0.47785848640554751</v>
      </c>
      <c r="F10" s="48">
        <v>304.94023522999919</v>
      </c>
      <c r="G10" s="203">
        <f t="shared" si="2"/>
        <v>3.059082555068096</v>
      </c>
      <c r="H10" s="203">
        <f t="shared" si="3"/>
        <v>383.59941622512912</v>
      </c>
      <c r="I10" s="203">
        <f t="shared" si="4"/>
        <v>-13.828439487857159</v>
      </c>
      <c r="K10" s="277"/>
    </row>
    <row r="11" spans="1:18" x14ac:dyDescent="0.25">
      <c r="A11" s="21" t="s">
        <v>266</v>
      </c>
      <c r="B11" s="48">
        <v>122.72891758999901</v>
      </c>
      <c r="C11" s="276">
        <f t="shared" si="0"/>
        <v>1.036016064250586</v>
      </c>
      <c r="D11" s="48">
        <v>299.81178110000002</v>
      </c>
      <c r="E11" s="276">
        <f t="shared" si="1"/>
        <v>2.2720560167757933</v>
      </c>
      <c r="F11" s="48">
        <v>269.11141550000002</v>
      </c>
      <c r="G11" s="203">
        <f t="shared" si="2"/>
        <v>2.6996569865725104</v>
      </c>
      <c r="H11" s="203">
        <f t="shared" si="3"/>
        <v>-10.23987966295431</v>
      </c>
      <c r="I11" s="203">
        <f t="shared" si="4"/>
        <v>119.27302935973216</v>
      </c>
      <c r="K11" s="241"/>
    </row>
    <row r="12" spans="1:18" x14ac:dyDescent="0.25">
      <c r="A12" s="21" t="s">
        <v>890</v>
      </c>
      <c r="B12" s="48">
        <v>252.85402891999985</v>
      </c>
      <c r="C12" s="276">
        <f t="shared" si="0"/>
        <v>2.1344670923175229</v>
      </c>
      <c r="D12" s="48">
        <v>465.92063181999998</v>
      </c>
      <c r="E12" s="276">
        <f t="shared" si="1"/>
        <v>3.530874507274691</v>
      </c>
      <c r="F12" s="48">
        <v>238.01039599999984</v>
      </c>
      <c r="G12" s="203">
        <f t="shared" si="2"/>
        <v>2.3876595024572245</v>
      </c>
      <c r="H12" s="203">
        <f t="shared" si="3"/>
        <v>-48.916107219748348</v>
      </c>
      <c r="I12" s="203">
        <f t="shared" si="4"/>
        <v>-5.8704355961424532</v>
      </c>
      <c r="J12" s="217"/>
      <c r="K12" s="277"/>
    </row>
    <row r="13" spans="1:18" x14ac:dyDescent="0.25">
      <c r="A13" s="21" t="s">
        <v>249</v>
      </c>
      <c r="B13" s="48">
        <v>203.62697186999964</v>
      </c>
      <c r="C13" s="276">
        <f t="shared" si="0"/>
        <v>1.7189169277674186</v>
      </c>
      <c r="D13" s="48">
        <v>159.95768797999995</v>
      </c>
      <c r="E13" s="276">
        <f t="shared" si="1"/>
        <v>1.2122032899143598</v>
      </c>
      <c r="F13" s="48">
        <v>184.02603078999977</v>
      </c>
      <c r="G13" s="203">
        <f t="shared" si="2"/>
        <v>1.8461021388125793</v>
      </c>
      <c r="H13" s="203">
        <f t="shared" si="3"/>
        <v>15.046693356188779</v>
      </c>
      <c r="I13" s="203">
        <f t="shared" si="4"/>
        <v>-9.6259060869959718</v>
      </c>
      <c r="K13" s="277"/>
    </row>
    <row r="14" spans="1:18" x14ac:dyDescent="0.25">
      <c r="A14" s="21" t="s">
        <v>337</v>
      </c>
      <c r="B14" s="48">
        <v>150.80494733999984</v>
      </c>
      <c r="C14" s="276">
        <f t="shared" si="0"/>
        <v>1.2730198479761952</v>
      </c>
      <c r="D14" s="48">
        <v>44.102620719999983</v>
      </c>
      <c r="E14" s="276">
        <f t="shared" si="1"/>
        <v>0.33422177205583042</v>
      </c>
      <c r="F14" s="48">
        <v>143.11004010999997</v>
      </c>
      <c r="G14" s="203">
        <f t="shared" si="2"/>
        <v>1.4356433706604823</v>
      </c>
      <c r="H14" s="203">
        <f t="shared" si="3"/>
        <v>224.49327902434914</v>
      </c>
      <c r="I14" s="203">
        <f t="shared" si="4"/>
        <v>-5.1025562262564161</v>
      </c>
      <c r="K14" s="277"/>
    </row>
    <row r="15" spans="1:18" x14ac:dyDescent="0.25">
      <c r="A15" s="21" t="s">
        <v>251</v>
      </c>
      <c r="B15" s="48">
        <v>1473.7134506499999</v>
      </c>
      <c r="C15" s="276">
        <f t="shared" si="0"/>
        <v>12.44035096990034</v>
      </c>
      <c r="D15" s="48">
        <v>39.31562959</v>
      </c>
      <c r="E15" s="276">
        <f t="shared" si="1"/>
        <v>0.29794463858474407</v>
      </c>
      <c r="F15" s="48">
        <v>132.25203864999992</v>
      </c>
      <c r="G15" s="203">
        <f t="shared" si="2"/>
        <v>1.3267186732549809</v>
      </c>
      <c r="H15" s="203">
        <f t="shared" si="3"/>
        <v>236.38540201232962</v>
      </c>
      <c r="I15" s="203">
        <f t="shared" si="4"/>
        <v>-91.025932579249485</v>
      </c>
      <c r="K15" s="277"/>
    </row>
    <row r="16" spans="1:18" x14ac:dyDescent="0.25">
      <c r="A16" s="21" t="s">
        <v>257</v>
      </c>
      <c r="B16" s="48">
        <v>104.03414055999987</v>
      </c>
      <c r="C16" s="276">
        <f t="shared" si="0"/>
        <v>0.87820411820731503</v>
      </c>
      <c r="D16" s="48">
        <v>88.111021859999909</v>
      </c>
      <c r="E16" s="276">
        <f t="shared" si="1"/>
        <v>0.66772952225817728</v>
      </c>
      <c r="F16" s="48">
        <v>115.24487379999989</v>
      </c>
      <c r="G16" s="203">
        <f t="shared" si="2"/>
        <v>1.1561071392782925</v>
      </c>
      <c r="H16" s="203">
        <f t="shared" si="3"/>
        <v>30.795071226291213</v>
      </c>
      <c r="I16" s="203">
        <f t="shared" si="4"/>
        <v>10.77601370055481</v>
      </c>
      <c r="K16" s="241"/>
    </row>
    <row r="17" spans="1:11" x14ac:dyDescent="0.25">
      <c r="A17" s="21" t="s">
        <v>887</v>
      </c>
      <c r="B17" s="48">
        <v>1.9770037199999999</v>
      </c>
      <c r="C17" s="276">
        <f t="shared" si="0"/>
        <v>1.6688875394840708E-2</v>
      </c>
      <c r="D17" s="48">
        <v>8.5310200000000003E-3</v>
      </c>
      <c r="E17" s="276">
        <f t="shared" si="1"/>
        <v>6.4650412499199253E-5</v>
      </c>
      <c r="F17" s="48">
        <v>99.66137556000001</v>
      </c>
      <c r="G17" s="203">
        <f t="shared" si="2"/>
        <v>0.99977746511455901</v>
      </c>
      <c r="H17" s="203">
        <f t="shared" si="3"/>
        <v>1168123.4429177286</v>
      </c>
      <c r="I17" s="203">
        <f t="shared" si="4"/>
        <v>4941.0312611854879</v>
      </c>
      <c r="K17" s="277"/>
    </row>
    <row r="18" spans="1:11" x14ac:dyDescent="0.25">
      <c r="A18" s="21" t="s">
        <v>889</v>
      </c>
      <c r="B18" s="48">
        <v>77.315218900000005</v>
      </c>
      <c r="C18" s="276">
        <f t="shared" si="0"/>
        <v>0.65265636138860339</v>
      </c>
      <c r="D18" s="48">
        <v>78.253146779999994</v>
      </c>
      <c r="E18" s="276">
        <f t="shared" si="1"/>
        <v>0.59302383755839094</v>
      </c>
      <c r="F18" s="48">
        <v>80.262048649999997</v>
      </c>
      <c r="G18" s="203">
        <f t="shared" si="2"/>
        <v>0.80516837233385663</v>
      </c>
      <c r="H18" s="203">
        <f t="shared" si="3"/>
        <v>2.5671834969752894</v>
      </c>
      <c r="I18" s="203">
        <f t="shared" si="4"/>
        <v>3.8114484986603303</v>
      </c>
      <c r="K18" s="277"/>
    </row>
    <row r="19" spans="1:11" x14ac:dyDescent="0.25">
      <c r="A19" s="21" t="s">
        <v>236</v>
      </c>
      <c r="B19" s="48">
        <v>17.144312409999902</v>
      </c>
      <c r="C19" s="276">
        <f t="shared" si="0"/>
        <v>0.14472370013583463</v>
      </c>
      <c r="D19" s="48">
        <v>32.880906150000001</v>
      </c>
      <c r="E19" s="276">
        <f t="shared" si="1"/>
        <v>0.24918053713916477</v>
      </c>
      <c r="F19" s="48">
        <v>77.521735149999898</v>
      </c>
      <c r="G19" s="203">
        <f t="shared" si="2"/>
        <v>0.77767824720509104</v>
      </c>
      <c r="H19" s="203">
        <f t="shared" si="3"/>
        <v>135.76520305234925</v>
      </c>
      <c r="I19" s="203">
        <f t="shared" si="4"/>
        <v>352.17173658584971</v>
      </c>
      <c r="K19" s="277"/>
    </row>
    <row r="20" spans="1:11" x14ac:dyDescent="0.25">
      <c r="A20" s="21" t="s">
        <v>255</v>
      </c>
      <c r="B20" s="48">
        <v>53.568797190000005</v>
      </c>
      <c r="C20" s="276">
        <f t="shared" si="0"/>
        <v>0.45220096063117332</v>
      </c>
      <c r="D20" s="48">
        <v>154.66486251999984</v>
      </c>
      <c r="E20" s="276">
        <f t="shared" si="1"/>
        <v>1.1720928049693859</v>
      </c>
      <c r="F20" s="48">
        <v>72.42692120999979</v>
      </c>
      <c r="G20" s="203">
        <f t="shared" si="2"/>
        <v>0.72656837502500016</v>
      </c>
      <c r="H20" s="203">
        <f t="shared" si="3"/>
        <v>-53.171702977698509</v>
      </c>
      <c r="I20" s="203">
        <f t="shared" si="4"/>
        <v>35.203560671920677</v>
      </c>
      <c r="K20" s="277"/>
    </row>
    <row r="21" spans="1:11" x14ac:dyDescent="0.25">
      <c r="A21" s="21" t="s">
        <v>327</v>
      </c>
      <c r="B21" s="48"/>
      <c r="C21" s="276">
        <f t="shared" si="0"/>
        <v>0</v>
      </c>
      <c r="D21" s="48">
        <v>2.7153999999999998E-2</v>
      </c>
      <c r="E21" s="276">
        <f t="shared" si="1"/>
        <v>2.0578046951047545E-4</v>
      </c>
      <c r="F21" s="48">
        <v>59.928897219999904</v>
      </c>
      <c r="G21" s="203">
        <f t="shared" si="2"/>
        <v>0.60119139047655379</v>
      </c>
      <c r="H21" s="203">
        <f t="shared" si="3"/>
        <v>220600.07078146833</v>
      </c>
      <c r="I21" s="203" t="s">
        <v>240</v>
      </c>
      <c r="K21" s="277"/>
    </row>
    <row r="22" spans="1:11" x14ac:dyDescent="0.25">
      <c r="A22" s="21" t="s">
        <v>888</v>
      </c>
      <c r="B22" s="48">
        <v>32.856507029999896</v>
      </c>
      <c r="C22" s="276">
        <f t="shared" si="0"/>
        <v>0.27735817903942839</v>
      </c>
      <c r="D22" s="48">
        <v>46.348694789999996</v>
      </c>
      <c r="E22" s="276">
        <f t="shared" si="1"/>
        <v>0.35124313821477227</v>
      </c>
      <c r="F22" s="48">
        <v>47.523643200000009</v>
      </c>
      <c r="G22" s="203">
        <f t="shared" si="2"/>
        <v>0.47674505057277733</v>
      </c>
      <c r="H22" s="203">
        <f t="shared" si="3"/>
        <v>2.5350194117084612</v>
      </c>
      <c r="I22" s="203">
        <f t="shared" si="4"/>
        <v>44.639973922389764</v>
      </c>
      <c r="K22" s="277"/>
    </row>
    <row r="23" spans="1:11" x14ac:dyDescent="0.25">
      <c r="A23" s="21" t="s">
        <v>253</v>
      </c>
      <c r="B23" s="48">
        <v>40.402473349999866</v>
      </c>
      <c r="C23" s="276">
        <f t="shared" si="0"/>
        <v>0.34105744797562654</v>
      </c>
      <c r="D23" s="48">
        <v>77.29045945999988</v>
      </c>
      <c r="E23" s="276">
        <f t="shared" si="1"/>
        <v>0.58572832865725655</v>
      </c>
      <c r="F23" s="48">
        <v>45.709125449999867</v>
      </c>
      <c r="G23" s="203">
        <f t="shared" si="2"/>
        <v>0.45854227195059838</v>
      </c>
      <c r="H23" s="203">
        <f t="shared" si="3"/>
        <v>-40.860585162317861</v>
      </c>
      <c r="I23" s="203">
        <f t="shared" si="4"/>
        <v>13.13447336263145</v>
      </c>
      <c r="K23" s="277"/>
    </row>
    <row r="24" spans="1:11" x14ac:dyDescent="0.25">
      <c r="A24" s="21" t="s">
        <v>891</v>
      </c>
      <c r="B24" s="48">
        <v>102.3779395899998</v>
      </c>
      <c r="C24" s="276">
        <f t="shared" si="0"/>
        <v>0.8642232989819747</v>
      </c>
      <c r="D24" s="48">
        <v>44.1049773599999</v>
      </c>
      <c r="E24" s="276">
        <f t="shared" si="1"/>
        <v>0.33423963132097184</v>
      </c>
      <c r="F24" s="48">
        <v>45.532553059999998</v>
      </c>
      <c r="G24" s="203">
        <f t="shared" si="2"/>
        <v>0.45677094283245862</v>
      </c>
      <c r="H24" s="203">
        <f t="shared" si="3"/>
        <v>3.2367677877889856</v>
      </c>
      <c r="I24" s="203">
        <f t="shared" si="4"/>
        <v>-55.525034746403911</v>
      </c>
      <c r="K24" s="277"/>
    </row>
    <row r="25" spans="1:11" x14ac:dyDescent="0.25">
      <c r="A25" s="21" t="s">
        <v>258</v>
      </c>
      <c r="B25" s="48">
        <v>37.191868400000004</v>
      </c>
      <c r="C25" s="276">
        <f t="shared" si="0"/>
        <v>0.31395512873840908</v>
      </c>
      <c r="D25" s="48">
        <v>27.69872083999989</v>
      </c>
      <c r="E25" s="276">
        <f t="shared" si="1"/>
        <v>0.20990851363684054</v>
      </c>
      <c r="F25" s="48">
        <v>44.825112529999899</v>
      </c>
      <c r="G25" s="203">
        <f t="shared" si="2"/>
        <v>0.44967408012282262</v>
      </c>
      <c r="H25" s="203">
        <f t="shared" si="3"/>
        <v>61.83098414157697</v>
      </c>
      <c r="I25" s="203">
        <f t="shared" si="4"/>
        <v>20.523959828810035</v>
      </c>
      <c r="K25" s="277"/>
    </row>
    <row r="26" spans="1:11" x14ac:dyDescent="0.25">
      <c r="A26" s="21" t="s">
        <v>254</v>
      </c>
      <c r="B26" s="48">
        <v>32.163798209999939</v>
      </c>
      <c r="C26" s="276">
        <f t="shared" si="0"/>
        <v>0.27151067806361517</v>
      </c>
      <c r="D26" s="48">
        <v>49.945371299999969</v>
      </c>
      <c r="E26" s="276">
        <f t="shared" si="1"/>
        <v>0.3784997405903005</v>
      </c>
      <c r="F26" s="48">
        <v>41.484030579999967</v>
      </c>
      <c r="G26" s="203">
        <f t="shared" si="2"/>
        <v>0.41615719934587675</v>
      </c>
      <c r="H26" s="203">
        <f t="shared" si="3"/>
        <v>-16.941190944755292</v>
      </c>
      <c r="I26" s="203">
        <f t="shared" si="4"/>
        <v>28.977399712395613</v>
      </c>
      <c r="K26" s="277"/>
    </row>
    <row r="27" spans="1:11" x14ac:dyDescent="0.25">
      <c r="A27" s="21" t="s">
        <v>795</v>
      </c>
      <c r="B27" s="48">
        <v>31.181384359999992</v>
      </c>
      <c r="C27" s="276">
        <f t="shared" si="0"/>
        <v>0.26321763229796791</v>
      </c>
      <c r="D27" s="48">
        <v>65.836674859999889</v>
      </c>
      <c r="E27" s="276">
        <f t="shared" si="1"/>
        <v>0.49892840331808547</v>
      </c>
      <c r="F27" s="48">
        <v>32.933141849999878</v>
      </c>
      <c r="G27" s="203">
        <f t="shared" si="2"/>
        <v>0.33037686758827106</v>
      </c>
      <c r="H27" s="203">
        <f t="shared" si="3"/>
        <v>-49.977513414777682</v>
      </c>
      <c r="I27" s="203">
        <f t="shared" si="4"/>
        <v>5.6179593239839232</v>
      </c>
      <c r="K27" s="277"/>
    </row>
    <row r="28" spans="1:11" x14ac:dyDescent="0.25">
      <c r="A28" s="21" t="s">
        <v>880</v>
      </c>
      <c r="B28" s="48">
        <v>9.3472945199999984</v>
      </c>
      <c r="C28" s="276">
        <f t="shared" si="0"/>
        <v>7.8905179562918246E-2</v>
      </c>
      <c r="D28" s="48">
        <v>2.7347276999999908</v>
      </c>
      <c r="E28" s="276">
        <f t="shared" si="1"/>
        <v>2.0724517569761389E-2</v>
      </c>
      <c r="F28" s="48">
        <v>23.97933097999999</v>
      </c>
      <c r="G28" s="203">
        <f t="shared" si="2"/>
        <v>0.24055452383249645</v>
      </c>
      <c r="H28" s="203">
        <f t="shared" si="3"/>
        <v>776.84528810674908</v>
      </c>
      <c r="I28" s="203">
        <f t="shared" si="4"/>
        <v>156.53766369180366</v>
      </c>
      <c r="K28" s="277"/>
    </row>
    <row r="29" spans="1:11" x14ac:dyDescent="0.25">
      <c r="A29" s="21" t="s">
        <v>264</v>
      </c>
      <c r="B29" s="48">
        <v>7.8461828699999892</v>
      </c>
      <c r="C29" s="276">
        <f t="shared" si="0"/>
        <v>6.6233546714096952E-2</v>
      </c>
      <c r="D29" s="48">
        <v>16.306671699999992</v>
      </c>
      <c r="E29" s="276">
        <f t="shared" si="1"/>
        <v>0.12357643656843122</v>
      </c>
      <c r="F29" s="48">
        <v>17.324127349999969</v>
      </c>
      <c r="G29" s="203">
        <f t="shared" si="2"/>
        <v>0.17379122082132306</v>
      </c>
      <c r="H29" s="203">
        <f t="shared" si="3"/>
        <v>6.239505330814854</v>
      </c>
      <c r="I29" s="203">
        <f t="shared" si="4"/>
        <v>120.7968847659549</v>
      </c>
      <c r="K29" s="277"/>
    </row>
    <row r="30" spans="1:11" x14ac:dyDescent="0.25">
      <c r="A30" s="21" t="s">
        <v>260</v>
      </c>
      <c r="B30" s="48">
        <v>13.598579399999899</v>
      </c>
      <c r="C30" s="276">
        <f t="shared" si="0"/>
        <v>0.11479239763567364</v>
      </c>
      <c r="D30" s="48">
        <v>18.234754479999889</v>
      </c>
      <c r="E30" s="276">
        <f t="shared" si="1"/>
        <v>0.1381879773993748</v>
      </c>
      <c r="F30" s="48">
        <v>16.580700679999904</v>
      </c>
      <c r="G30" s="203">
        <f t="shared" si="2"/>
        <v>0.16633335434642427</v>
      </c>
      <c r="H30" s="203">
        <f t="shared" si="3"/>
        <v>-9.0708860479266296</v>
      </c>
      <c r="I30" s="203" t="s">
        <v>240</v>
      </c>
      <c r="K30" s="277"/>
    </row>
    <row r="31" spans="1:11" x14ac:dyDescent="0.25">
      <c r="A31" s="21" t="s">
        <v>812</v>
      </c>
      <c r="B31" s="48">
        <v>5.73731367999999</v>
      </c>
      <c r="C31" s="276">
        <f t="shared" si="0"/>
        <v>4.8431529054803614E-2</v>
      </c>
      <c r="D31" s="48">
        <v>12.923874679999999</v>
      </c>
      <c r="E31" s="276">
        <f t="shared" si="1"/>
        <v>9.7940671707481247E-2</v>
      </c>
      <c r="F31" s="48">
        <v>15.708174119999999</v>
      </c>
      <c r="G31" s="203">
        <f t="shared" si="2"/>
        <v>0.15758039074843888</v>
      </c>
      <c r="H31" s="203">
        <f t="shared" si="3"/>
        <v>21.543844310938496</v>
      </c>
      <c r="I31" s="203">
        <f t="shared" si="4"/>
        <v>173.78970361613602</v>
      </c>
      <c r="K31" s="277"/>
    </row>
    <row r="32" spans="1:11" x14ac:dyDescent="0.25">
      <c r="A32" s="21" t="s">
        <v>259</v>
      </c>
      <c r="B32" s="48">
        <v>11.030810399999991</v>
      </c>
      <c r="C32" s="276">
        <f t="shared" si="0"/>
        <v>9.3116577580194343E-2</v>
      </c>
      <c r="D32" s="48">
        <v>21.466800889999902</v>
      </c>
      <c r="E32" s="276">
        <f t="shared" si="1"/>
        <v>0.16268131273595315</v>
      </c>
      <c r="F32" s="48">
        <v>15.395379339999987</v>
      </c>
      <c r="G32" s="203">
        <f t="shared" si="2"/>
        <v>0.15444251340636661</v>
      </c>
      <c r="H32" s="203">
        <f t="shared" si="3"/>
        <v>-28.282842800429698</v>
      </c>
      <c r="I32" s="203">
        <f t="shared" si="4"/>
        <v>39.567074237809408</v>
      </c>
      <c r="K32" s="277"/>
    </row>
    <row r="33" spans="1:11" x14ac:dyDescent="0.25">
      <c r="A33" s="21" t="s">
        <v>261</v>
      </c>
      <c r="B33" s="48">
        <v>16.742144199999998</v>
      </c>
      <c r="C33" s="276">
        <f t="shared" si="0"/>
        <v>0.14132879749778873</v>
      </c>
      <c r="D33" s="48">
        <v>27.787506629999893</v>
      </c>
      <c r="E33" s="276">
        <f t="shared" si="1"/>
        <v>0.2105813567373804</v>
      </c>
      <c r="F33" s="48">
        <v>14.64946681999999</v>
      </c>
      <c r="G33" s="203">
        <f t="shared" si="2"/>
        <v>0.14695970951917925</v>
      </c>
      <c r="H33" s="203">
        <f t="shared" si="3"/>
        <v>-47.280383896753939</v>
      </c>
      <c r="I33" s="203">
        <f t="shared" si="4"/>
        <v>-12.49945858189424</v>
      </c>
      <c r="K33" s="277"/>
    </row>
    <row r="34" spans="1:11" x14ac:dyDescent="0.25">
      <c r="A34" s="21" t="s">
        <v>263</v>
      </c>
      <c r="B34" s="48">
        <v>61.929742889999808</v>
      </c>
      <c r="C34" s="276">
        <f t="shared" si="0"/>
        <v>0.52277987738218779</v>
      </c>
      <c r="D34" s="48">
        <v>30.06629208999998</v>
      </c>
      <c r="E34" s="276">
        <f t="shared" si="1"/>
        <v>0.22785061879352178</v>
      </c>
      <c r="F34" s="48">
        <v>13.108677689999986</v>
      </c>
      <c r="G34" s="203">
        <f t="shared" si="2"/>
        <v>0.13150290649983837</v>
      </c>
      <c r="H34" s="203">
        <f t="shared" si="3"/>
        <v>-56.400750545625414</v>
      </c>
      <c r="I34" s="203">
        <f t="shared" si="4"/>
        <v>-78.832985447261194</v>
      </c>
      <c r="K34" s="277"/>
    </row>
    <row r="35" spans="1:11" x14ac:dyDescent="0.25">
      <c r="A35" s="21" t="s">
        <v>885</v>
      </c>
      <c r="B35" s="48">
        <v>9.7308974099999972</v>
      </c>
      <c r="C35" s="276">
        <f t="shared" si="0"/>
        <v>8.2143363066341693E-2</v>
      </c>
      <c r="D35" s="48">
        <v>5.6361688299999981</v>
      </c>
      <c r="E35" s="276">
        <f t="shared" si="1"/>
        <v>4.2712435297845866E-2</v>
      </c>
      <c r="F35" s="48">
        <v>11.380807959999991</v>
      </c>
      <c r="G35" s="203">
        <f t="shared" si="2"/>
        <v>0.11416935868353757</v>
      </c>
      <c r="H35" s="203" t="s">
        <v>240</v>
      </c>
      <c r="I35" s="203">
        <f t="shared" si="4"/>
        <v>16.955379144213943</v>
      </c>
      <c r="K35" s="277"/>
    </row>
    <row r="36" spans="1:11" x14ac:dyDescent="0.25">
      <c r="A36" s="21" t="s">
        <v>271</v>
      </c>
      <c r="B36" s="48">
        <v>0.36</v>
      </c>
      <c r="C36" s="276">
        <f t="shared" ref="C36:C67" si="5">(B36/$B$132)*100</f>
        <v>3.0389397254865329E-3</v>
      </c>
      <c r="D36" s="48">
        <v>5.7589679</v>
      </c>
      <c r="E36" s="276">
        <f t="shared" ref="E36:E67" si="6">(D36/$D$132)*100</f>
        <v>4.3643040375552652E-2</v>
      </c>
      <c r="F36" s="48">
        <v>11.16936192999998</v>
      </c>
      <c r="G36" s="203">
        <f t="shared" ref="G36:G67" si="7">(F36/$F$132)*100</f>
        <v>0.1120481861159898</v>
      </c>
      <c r="H36" s="203">
        <f t="shared" ref="H36:H46" si="8">((F36/D36)-1)*100</f>
        <v>93.947285762783636</v>
      </c>
      <c r="I36" s="203">
        <f t="shared" si="4"/>
        <v>3002.6005361111056</v>
      </c>
      <c r="K36" s="277"/>
    </row>
    <row r="37" spans="1:11" x14ac:dyDescent="0.25">
      <c r="A37" s="21" t="s">
        <v>802</v>
      </c>
      <c r="B37" s="48">
        <v>14.055958359999998</v>
      </c>
      <c r="C37" s="276">
        <f t="shared" si="5"/>
        <v>0.11865336177774592</v>
      </c>
      <c r="D37" s="48">
        <v>0.16779803000000001</v>
      </c>
      <c r="E37" s="276">
        <f t="shared" si="6"/>
        <v>1.271619554994949E-3</v>
      </c>
      <c r="F37" s="48">
        <v>10.83558463</v>
      </c>
      <c r="G37" s="203">
        <f t="shared" si="7"/>
        <v>0.1086998174924215</v>
      </c>
      <c r="H37" s="203">
        <f t="shared" si="8"/>
        <v>6357.515997059083</v>
      </c>
      <c r="I37" s="203">
        <f t="shared" si="4"/>
        <v>-22.911093271053197</v>
      </c>
      <c r="K37" s="277"/>
    </row>
    <row r="38" spans="1:11" x14ac:dyDescent="0.25">
      <c r="A38" s="21" t="s">
        <v>882</v>
      </c>
      <c r="B38" s="48">
        <v>2.0329359799999889</v>
      </c>
      <c r="C38" s="276">
        <f t="shared" si="5"/>
        <v>1.7161027524980173E-2</v>
      </c>
      <c r="D38" s="48">
        <v>1.4199599900000002</v>
      </c>
      <c r="E38" s="276">
        <f t="shared" si="6"/>
        <v>1.0760846778680491E-2</v>
      </c>
      <c r="F38" s="48">
        <v>9.9844617699999958</v>
      </c>
      <c r="G38" s="203">
        <f t="shared" si="7"/>
        <v>0.10016157034611793</v>
      </c>
      <c r="H38" s="203">
        <f t="shared" si="8"/>
        <v>603.15092258338871</v>
      </c>
      <c r="I38" s="203">
        <f t="shared" si="4"/>
        <v>391.13508089910687</v>
      </c>
      <c r="K38" s="277"/>
    </row>
    <row r="39" spans="1:11" x14ac:dyDescent="0.25">
      <c r="A39" s="21" t="s">
        <v>262</v>
      </c>
      <c r="B39" s="48">
        <v>5.6873057499999975</v>
      </c>
      <c r="C39" s="276">
        <f t="shared" si="5"/>
        <v>4.8009387151841595E-2</v>
      </c>
      <c r="D39" s="48">
        <v>11.519602019999985</v>
      </c>
      <c r="E39" s="276">
        <f t="shared" si="6"/>
        <v>8.7298707823871918E-2</v>
      </c>
      <c r="F39" s="48">
        <v>7.9062074099999986</v>
      </c>
      <c r="G39" s="203">
        <f t="shared" si="7"/>
        <v>7.9313053413365323E-2</v>
      </c>
      <c r="H39" s="203">
        <f t="shared" si="8"/>
        <v>-31.367356300387105</v>
      </c>
      <c r="I39" s="203">
        <f t="shared" si="4"/>
        <v>39.014988072339918</v>
      </c>
      <c r="K39" s="277"/>
    </row>
    <row r="40" spans="1:11" x14ac:dyDescent="0.25">
      <c r="A40" s="21" t="s">
        <v>270</v>
      </c>
      <c r="B40" s="48">
        <v>1.5603563899999999</v>
      </c>
      <c r="C40" s="276">
        <f t="shared" si="5"/>
        <v>1.3171747276354883E-2</v>
      </c>
      <c r="D40" s="48">
        <v>2.562294059999989</v>
      </c>
      <c r="E40" s="276">
        <f t="shared" si="6"/>
        <v>1.9417768089073435E-2</v>
      </c>
      <c r="F40" s="48">
        <v>6.9039856099999906</v>
      </c>
      <c r="G40" s="203">
        <f t="shared" si="7"/>
        <v>6.9259020293148982E-2</v>
      </c>
      <c r="H40" s="203">
        <f t="shared" si="8"/>
        <v>169.44548316207002</v>
      </c>
      <c r="I40" s="203">
        <f t="shared" si="4"/>
        <v>342.46209739301872</v>
      </c>
      <c r="K40" s="277"/>
    </row>
    <row r="41" spans="1:11" x14ac:dyDescent="0.25">
      <c r="A41" s="21" t="s">
        <v>272</v>
      </c>
      <c r="B41" s="48">
        <v>1.7157850699999997</v>
      </c>
      <c r="C41" s="276">
        <f t="shared" si="5"/>
        <v>1.4483798360054697E-2</v>
      </c>
      <c r="D41" s="48">
        <v>0.44222360999999971</v>
      </c>
      <c r="E41" s="276">
        <f t="shared" si="6"/>
        <v>3.3512919678285826E-3</v>
      </c>
      <c r="F41" s="48">
        <v>6.8331683899999911</v>
      </c>
      <c r="G41" s="203">
        <f t="shared" si="7"/>
        <v>6.8548600029529061E-2</v>
      </c>
      <c r="H41" s="203" t="s">
        <v>240</v>
      </c>
      <c r="I41" s="203">
        <f t="shared" si="4"/>
        <v>298.2531675718563</v>
      </c>
      <c r="K41" s="277"/>
    </row>
    <row r="42" spans="1:11" x14ac:dyDescent="0.25">
      <c r="A42" s="21" t="s">
        <v>800</v>
      </c>
      <c r="B42" s="48">
        <v>14.76015780999999</v>
      </c>
      <c r="C42" s="276">
        <f t="shared" si="5"/>
        <v>0.12459786089794245</v>
      </c>
      <c r="D42" s="48">
        <v>15.569681079999979</v>
      </c>
      <c r="E42" s="276">
        <f t="shared" si="6"/>
        <v>0.11799131924470657</v>
      </c>
      <c r="F42" s="48">
        <v>6.6305551599999797</v>
      </c>
      <c r="G42" s="203">
        <f t="shared" si="7"/>
        <v>6.6516035855596595E-2</v>
      </c>
      <c r="H42" s="203">
        <f t="shared" si="8"/>
        <v>-57.413673883678619</v>
      </c>
      <c r="I42" s="203">
        <f t="shared" si="4"/>
        <v>-55.078019860276925</v>
      </c>
      <c r="K42" s="277"/>
    </row>
    <row r="43" spans="1:11" x14ac:dyDescent="0.25">
      <c r="A43" s="21" t="s">
        <v>338</v>
      </c>
      <c r="B43" s="48">
        <v>0.10558594999999979</v>
      </c>
      <c r="C43" s="276">
        <f t="shared" si="5"/>
        <v>8.9130371641176159E-4</v>
      </c>
      <c r="D43" s="48"/>
      <c r="E43" s="276">
        <f t="shared" si="6"/>
        <v>0</v>
      </c>
      <c r="F43" s="48">
        <v>5.7486133699999895</v>
      </c>
      <c r="G43" s="203">
        <f t="shared" si="7"/>
        <v>5.7668621074993431E-2</v>
      </c>
      <c r="H43" s="203" t="s">
        <v>240</v>
      </c>
      <c r="I43" s="203" t="s">
        <v>240</v>
      </c>
      <c r="K43" s="277"/>
    </row>
    <row r="44" spans="1:11" x14ac:dyDescent="0.25">
      <c r="A44" s="21" t="s">
        <v>797</v>
      </c>
      <c r="B44" s="48">
        <v>2.4000000000000003E-4</v>
      </c>
      <c r="C44" s="276">
        <f t="shared" si="5"/>
        <v>2.0259598169910223E-6</v>
      </c>
      <c r="D44" s="48">
        <v>5.4435505199999792</v>
      </c>
      <c r="E44" s="276">
        <f t="shared" si="6"/>
        <v>4.1252720844427652E-2</v>
      </c>
      <c r="F44" s="48">
        <v>5.1200957899999908</v>
      </c>
      <c r="G44" s="203">
        <f t="shared" si="7"/>
        <v>5.1363493242054498E-2</v>
      </c>
      <c r="H44" s="203">
        <f t="shared" si="8"/>
        <v>-5.9419808599478152</v>
      </c>
      <c r="I44" s="203">
        <f>((F44/B44)-1)*100</f>
        <v>2133273.2458333294</v>
      </c>
      <c r="K44" s="277"/>
    </row>
    <row r="45" spans="1:11" x14ac:dyDescent="0.25">
      <c r="A45" s="21" t="s">
        <v>819</v>
      </c>
      <c r="B45" s="48">
        <v>1.5715E-2</v>
      </c>
      <c r="C45" s="276">
        <f t="shared" si="5"/>
        <v>1.3265816051672463E-4</v>
      </c>
      <c r="D45" s="48">
        <v>7.1044602300000008</v>
      </c>
      <c r="E45" s="276">
        <f t="shared" si="6"/>
        <v>5.3839550775130758E-2</v>
      </c>
      <c r="F45" s="48">
        <v>4.6803439600000001</v>
      </c>
      <c r="G45" s="203">
        <f t="shared" si="7"/>
        <v>4.6952015200471681E-2</v>
      </c>
      <c r="H45" s="203" t="s">
        <v>240</v>
      </c>
      <c r="I45" s="203" t="s">
        <v>240</v>
      </c>
      <c r="K45" s="277"/>
    </row>
    <row r="46" spans="1:11" x14ac:dyDescent="0.25">
      <c r="A46" s="21" t="s">
        <v>807</v>
      </c>
      <c r="B46" s="48">
        <v>6.5572250399999987</v>
      </c>
      <c r="C46" s="276">
        <f t="shared" si="5"/>
        <v>5.5352810175030603E-2</v>
      </c>
      <c r="D46" s="48">
        <v>4.4027968799999879</v>
      </c>
      <c r="E46" s="276">
        <f t="shared" si="6"/>
        <v>3.3365603930384249E-2</v>
      </c>
      <c r="F46" s="48">
        <v>4.4392250599999894</v>
      </c>
      <c r="G46" s="203">
        <f t="shared" si="7"/>
        <v>4.4533171979829082E-2</v>
      </c>
      <c r="H46" s="203">
        <f t="shared" si="8"/>
        <v>0.82738724935231822</v>
      </c>
      <c r="I46" s="203">
        <f>((F46/B46)-1)*100</f>
        <v>-32.300248459979798</v>
      </c>
      <c r="K46" s="277"/>
    </row>
    <row r="47" spans="1:11" x14ac:dyDescent="0.25">
      <c r="A47" s="21" t="s">
        <v>269</v>
      </c>
      <c r="B47" s="48">
        <v>2.3089079499999996</v>
      </c>
      <c r="C47" s="276">
        <f t="shared" si="5"/>
        <v>1.9490644699296313E-2</v>
      </c>
      <c r="D47" s="48">
        <v>9.159154969999987</v>
      </c>
      <c r="E47" s="276">
        <f t="shared" si="6"/>
        <v>6.9410591811364872E-2</v>
      </c>
      <c r="F47" s="48">
        <v>4.4306420000000006</v>
      </c>
      <c r="G47" s="203">
        <f t="shared" si="7"/>
        <v>4.444706891410781E-2</v>
      </c>
      <c r="H47" s="203" t="s">
        <v>240</v>
      </c>
      <c r="I47" s="203" t="s">
        <v>240</v>
      </c>
      <c r="K47" s="277"/>
    </row>
    <row r="48" spans="1:11" x14ac:dyDescent="0.25">
      <c r="A48" s="21" t="s">
        <v>276</v>
      </c>
      <c r="B48" s="48">
        <v>19.597508710000003</v>
      </c>
      <c r="C48" s="276">
        <f t="shared" si="5"/>
        <v>0.16543235483163155</v>
      </c>
      <c r="D48" s="48">
        <v>10.431575249999996</v>
      </c>
      <c r="E48" s="276">
        <f t="shared" si="6"/>
        <v>7.9053342147707678E-2</v>
      </c>
      <c r="F48" s="48">
        <v>3.2428132599999988</v>
      </c>
      <c r="G48" s="203">
        <f t="shared" si="7"/>
        <v>3.2531074377664129E-2</v>
      </c>
      <c r="H48" s="203">
        <f>((F48/D48)-1)*100</f>
        <v>-68.913484471101327</v>
      </c>
      <c r="I48" s="203" t="s">
        <v>240</v>
      </c>
      <c r="K48" s="277"/>
    </row>
    <row r="49" spans="1:11" x14ac:dyDescent="0.25">
      <c r="A49" s="21" t="s">
        <v>267</v>
      </c>
      <c r="B49" s="48">
        <v>2.7316029999999998</v>
      </c>
      <c r="C49" s="276">
        <f t="shared" si="5"/>
        <v>2.3058824641550527E-2</v>
      </c>
      <c r="D49" s="48">
        <v>5.5153514399999981</v>
      </c>
      <c r="E49" s="276">
        <f t="shared" si="6"/>
        <v>4.1796847935423015E-2</v>
      </c>
      <c r="F49" s="48">
        <v>2.9175512400000003</v>
      </c>
      <c r="G49" s="203">
        <f t="shared" si="7"/>
        <v>2.9268128868168701E-2</v>
      </c>
      <c r="H49" s="203" t="s">
        <v>240</v>
      </c>
      <c r="I49" s="203" t="s">
        <v>240</v>
      </c>
      <c r="K49" s="277"/>
    </row>
    <row r="50" spans="1:11" x14ac:dyDescent="0.25">
      <c r="A50" s="21" t="s">
        <v>285</v>
      </c>
      <c r="B50" s="48">
        <v>3.40405881</v>
      </c>
      <c r="C50" s="276">
        <f t="shared" si="5"/>
        <v>2.8735359848892819E-2</v>
      </c>
      <c r="D50" s="48">
        <v>1.188848039999999</v>
      </c>
      <c r="E50" s="276">
        <f t="shared" si="6"/>
        <v>9.0094169495399685E-3</v>
      </c>
      <c r="F50" s="48">
        <v>2.3150944500000001</v>
      </c>
      <c r="G50" s="203">
        <f t="shared" si="7"/>
        <v>2.3224436224325618E-2</v>
      </c>
      <c r="H50" s="203" t="s">
        <v>240</v>
      </c>
      <c r="I50" s="203" t="s">
        <v>240</v>
      </c>
      <c r="K50" s="277"/>
    </row>
    <row r="51" spans="1:11" x14ac:dyDescent="0.25">
      <c r="A51" s="21" t="s">
        <v>295</v>
      </c>
      <c r="B51" s="48">
        <v>4.8338749899999991</v>
      </c>
      <c r="C51" s="276">
        <f t="shared" si="5"/>
        <v>4.0805152042074487E-2</v>
      </c>
      <c r="D51" s="48">
        <v>5.4890554199999899</v>
      </c>
      <c r="E51" s="276">
        <f t="shared" si="6"/>
        <v>4.1597569473986074E-2</v>
      </c>
      <c r="F51" s="48">
        <v>2.0917383999999992</v>
      </c>
      <c r="G51" s="203">
        <f t="shared" si="7"/>
        <v>2.0983785378075132E-2</v>
      </c>
      <c r="H51" s="203">
        <f>((F51/D51)-1)*100</f>
        <v>-61.892561835347571</v>
      </c>
      <c r="I51" s="203">
        <f>((F51/B51)-1)*100</f>
        <v>-56.727503207525032</v>
      </c>
      <c r="K51" s="277"/>
    </row>
    <row r="52" spans="1:11" x14ac:dyDescent="0.25">
      <c r="A52" s="21" t="s">
        <v>832</v>
      </c>
      <c r="B52" s="48"/>
      <c r="C52" s="276">
        <f t="shared" si="5"/>
        <v>0</v>
      </c>
      <c r="D52" s="48"/>
      <c r="E52" s="276">
        <f t="shared" si="6"/>
        <v>0</v>
      </c>
      <c r="F52" s="48">
        <v>2.0066232999999891</v>
      </c>
      <c r="G52" s="203">
        <f t="shared" si="7"/>
        <v>2.0129932434115403E-2</v>
      </c>
      <c r="H52" s="203" t="s">
        <v>240</v>
      </c>
      <c r="I52" s="203" t="s">
        <v>240</v>
      </c>
      <c r="K52" s="277"/>
    </row>
    <row r="53" spans="1:11" x14ac:dyDescent="0.25">
      <c r="A53" s="21" t="s">
        <v>252</v>
      </c>
      <c r="B53" s="48">
        <v>33.614728939999992</v>
      </c>
      <c r="C53" s="276">
        <f t="shared" si="5"/>
        <v>0.28375870871452163</v>
      </c>
      <c r="D53" s="48">
        <v>60.445123939999895</v>
      </c>
      <c r="E53" s="276">
        <f t="shared" si="6"/>
        <v>0.45806974972350517</v>
      </c>
      <c r="F53" s="48">
        <v>1.8174549299999898</v>
      </c>
      <c r="G53" s="203">
        <f t="shared" si="7"/>
        <v>1.8232243661752523E-2</v>
      </c>
      <c r="H53" s="203" t="s">
        <v>240</v>
      </c>
      <c r="I53" s="203" t="s">
        <v>240</v>
      </c>
      <c r="K53" s="277"/>
    </row>
    <row r="54" spans="1:11" x14ac:dyDescent="0.25">
      <c r="A54" s="21" t="s">
        <v>794</v>
      </c>
      <c r="B54" s="48"/>
      <c r="C54" s="276">
        <f t="shared" si="5"/>
        <v>0</v>
      </c>
      <c r="D54" s="48">
        <v>0.29461584999999996</v>
      </c>
      <c r="E54" s="276">
        <f t="shared" si="6"/>
        <v>2.2326798239017381E-3</v>
      </c>
      <c r="F54" s="48">
        <v>1.6009323399999986</v>
      </c>
      <c r="G54" s="203">
        <f t="shared" si="7"/>
        <v>1.6060144340888705E-2</v>
      </c>
      <c r="H54" s="203" t="s">
        <v>240</v>
      </c>
      <c r="I54" s="203" t="s">
        <v>240</v>
      </c>
      <c r="K54" s="277"/>
    </row>
    <row r="55" spans="1:11" x14ac:dyDescent="0.25">
      <c r="A55" s="21" t="s">
        <v>801</v>
      </c>
      <c r="B55" s="48">
        <v>5.4522229900000001</v>
      </c>
      <c r="C55" s="276">
        <f t="shared" si="5"/>
        <v>4.6024936212561013E-2</v>
      </c>
      <c r="D55" s="48">
        <v>1.38547</v>
      </c>
      <c r="E55" s="276">
        <f t="shared" si="6"/>
        <v>1.0499472162211034E-2</v>
      </c>
      <c r="F55" s="48">
        <v>1.541981359999999</v>
      </c>
      <c r="G55" s="203">
        <f t="shared" si="7"/>
        <v>1.5468763166193441E-2</v>
      </c>
      <c r="H55" s="203">
        <f t="shared" ref="H55:H63" si="9">((F55/D55)-1)*100</f>
        <v>11.296625693807805</v>
      </c>
      <c r="I55" s="203">
        <f>((F55/B55)-1)*100</f>
        <v>-71.718299804902159</v>
      </c>
      <c r="K55" s="277"/>
    </row>
    <row r="56" spans="1:11" x14ac:dyDescent="0.25">
      <c r="A56" s="21" t="s">
        <v>826</v>
      </c>
      <c r="B56" s="48">
        <v>1.4040000000000001E-3</v>
      </c>
      <c r="C56" s="276">
        <f t="shared" si="5"/>
        <v>1.185186492939748E-5</v>
      </c>
      <c r="D56" s="48">
        <v>1.8017315899999988</v>
      </c>
      <c r="E56" s="276">
        <f t="shared" si="6"/>
        <v>1.365401681233171E-2</v>
      </c>
      <c r="F56" s="48">
        <v>1.2819700399999976</v>
      </c>
      <c r="G56" s="203">
        <f t="shared" si="7"/>
        <v>1.2860396013422305E-2</v>
      </c>
      <c r="H56" s="203">
        <f t="shared" si="9"/>
        <v>-28.847890156602162</v>
      </c>
      <c r="I56" s="203" t="s">
        <v>240</v>
      </c>
      <c r="K56" s="277"/>
    </row>
    <row r="57" spans="1:11" x14ac:dyDescent="0.25">
      <c r="A57" s="21" t="s">
        <v>845</v>
      </c>
      <c r="B57" s="48">
        <v>1E-4</v>
      </c>
      <c r="C57" s="276">
        <f t="shared" si="5"/>
        <v>8.4414992374625925E-7</v>
      </c>
      <c r="D57" s="48">
        <v>0.18417</v>
      </c>
      <c r="E57" s="276">
        <f t="shared" si="6"/>
        <v>1.3956908400141513E-3</v>
      </c>
      <c r="F57" s="48">
        <v>1.2174880799999999</v>
      </c>
      <c r="G57" s="203">
        <f t="shared" si="7"/>
        <v>1.2213529460034187E-2</v>
      </c>
      <c r="H57" s="203">
        <f t="shared" si="9"/>
        <v>561.06753542922286</v>
      </c>
      <c r="I57" s="203">
        <f>((F57/B57)-1)*100</f>
        <v>1217388.0799999996</v>
      </c>
      <c r="K57" s="277"/>
    </row>
    <row r="58" spans="1:11" x14ac:dyDescent="0.25">
      <c r="A58" s="21" t="s">
        <v>831</v>
      </c>
      <c r="B58" s="48">
        <v>3.6573059499999987</v>
      </c>
      <c r="C58" s="276">
        <f t="shared" si="5"/>
        <v>3.0873145388092393E-2</v>
      </c>
      <c r="D58" s="48">
        <v>0.70480813999999958</v>
      </c>
      <c r="E58" s="276">
        <f t="shared" si="6"/>
        <v>5.3412296517641907E-3</v>
      </c>
      <c r="F58" s="48">
        <v>1.2121015399999984</v>
      </c>
      <c r="G58" s="203">
        <f t="shared" si="7"/>
        <v>1.2159493066529891E-2</v>
      </c>
      <c r="H58" s="203">
        <f t="shared" si="9"/>
        <v>71.976098346423626</v>
      </c>
      <c r="I58" s="203" t="s">
        <v>240</v>
      </c>
      <c r="K58" s="277"/>
    </row>
    <row r="59" spans="1:11" x14ac:dyDescent="0.25">
      <c r="A59" s="21" t="s">
        <v>828</v>
      </c>
      <c r="B59" s="48"/>
      <c r="C59" s="276">
        <f t="shared" si="5"/>
        <v>0</v>
      </c>
      <c r="D59" s="48">
        <v>0.99624000000000001</v>
      </c>
      <c r="E59" s="276">
        <f t="shared" si="6"/>
        <v>7.5497803250024328E-3</v>
      </c>
      <c r="F59" s="48">
        <v>1.0488051</v>
      </c>
      <c r="G59" s="203">
        <f t="shared" si="7"/>
        <v>1.0521344887979605E-2</v>
      </c>
      <c r="H59" s="203">
        <f t="shared" si="9"/>
        <v>5.2763490725126427</v>
      </c>
      <c r="I59" s="203" t="s">
        <v>240</v>
      </c>
      <c r="K59" s="277"/>
    </row>
    <row r="60" spans="1:11" x14ac:dyDescent="0.25">
      <c r="A60" s="21" t="s">
        <v>806</v>
      </c>
      <c r="B60" s="48"/>
      <c r="C60" s="276">
        <f t="shared" si="5"/>
        <v>0</v>
      </c>
      <c r="D60" s="48">
        <v>911.76056390999997</v>
      </c>
      <c r="E60" s="276">
        <f t="shared" si="6"/>
        <v>6.9095719570794589</v>
      </c>
      <c r="F60" s="48">
        <v>1.01511375</v>
      </c>
      <c r="G60" s="203">
        <f t="shared" si="7"/>
        <v>1.0183361869884411E-2</v>
      </c>
      <c r="H60" s="203" t="s">
        <v>240</v>
      </c>
      <c r="I60" s="203" t="s">
        <v>240</v>
      </c>
      <c r="K60" s="277"/>
    </row>
    <row r="61" spans="1:11" x14ac:dyDescent="0.25">
      <c r="A61" s="21" t="s">
        <v>877</v>
      </c>
      <c r="B61" s="48"/>
      <c r="C61" s="276">
        <f t="shared" si="5"/>
        <v>0</v>
      </c>
      <c r="D61" s="48">
        <v>5.4769799999999898E-3</v>
      </c>
      <c r="E61" s="276">
        <f t="shared" si="6"/>
        <v>4.1506058624861224E-5</v>
      </c>
      <c r="F61" s="48">
        <v>0.98229097999999904</v>
      </c>
      <c r="G61" s="203">
        <f t="shared" si="7"/>
        <v>9.8540922245052634E-3</v>
      </c>
      <c r="H61" s="203">
        <f t="shared" si="9"/>
        <v>17834.901715909149</v>
      </c>
      <c r="I61" s="203" t="s">
        <v>240</v>
      </c>
      <c r="K61" s="277"/>
    </row>
    <row r="62" spans="1:11" x14ac:dyDescent="0.25">
      <c r="A62" s="21" t="s">
        <v>237</v>
      </c>
      <c r="B62" s="48"/>
      <c r="C62" s="276">
        <f t="shared" si="5"/>
        <v>0</v>
      </c>
      <c r="D62" s="48">
        <v>4.3458871499999994</v>
      </c>
      <c r="E62" s="276">
        <f t="shared" si="6"/>
        <v>3.29343263668904E-2</v>
      </c>
      <c r="F62" s="48">
        <v>0.90133743999999905</v>
      </c>
      <c r="G62" s="203">
        <f t="shared" si="7"/>
        <v>9.0419869875619542E-3</v>
      </c>
      <c r="H62" s="203">
        <f t="shared" si="9"/>
        <v>-79.259989758362707</v>
      </c>
      <c r="I62" s="203" t="s">
        <v>240</v>
      </c>
      <c r="K62" s="277"/>
    </row>
    <row r="63" spans="1:11" x14ac:dyDescent="0.25">
      <c r="A63" s="21" t="s">
        <v>799</v>
      </c>
      <c r="B63" s="48">
        <v>8.0000000000000004E-4</v>
      </c>
      <c r="C63" s="276">
        <f t="shared" si="5"/>
        <v>6.753199389970074E-6</v>
      </c>
      <c r="D63" s="48">
        <v>0.65734289999999895</v>
      </c>
      <c r="E63" s="276">
        <f t="shared" si="6"/>
        <v>4.9815250273026919E-3</v>
      </c>
      <c r="F63" s="48">
        <v>0.87922739999999977</v>
      </c>
      <c r="G63" s="203">
        <f t="shared" si="7"/>
        <v>8.8201847134053765E-3</v>
      </c>
      <c r="H63" s="203">
        <f t="shared" si="9"/>
        <v>33.754757220318531</v>
      </c>
      <c r="I63" s="203">
        <f>((F63/B63)-1)*100</f>
        <v>109803.42499999997</v>
      </c>
      <c r="K63" s="277"/>
    </row>
    <row r="64" spans="1:11" x14ac:dyDescent="0.25">
      <c r="A64" s="21" t="s">
        <v>818</v>
      </c>
      <c r="B64" s="48">
        <v>1.7019666399999989</v>
      </c>
      <c r="C64" s="276">
        <f t="shared" si="5"/>
        <v>1.4367150093746759E-2</v>
      </c>
      <c r="D64" s="48">
        <v>1.4429725099999988</v>
      </c>
      <c r="E64" s="276">
        <f t="shared" si="6"/>
        <v>1.0935241975344663E-2</v>
      </c>
      <c r="F64" s="48">
        <v>0.86761500999999963</v>
      </c>
      <c r="G64" s="203">
        <f t="shared" si="7"/>
        <v>8.7036921828449049E-3</v>
      </c>
      <c r="H64" s="203" t="s">
        <v>240</v>
      </c>
      <c r="I64" s="203">
        <f>((F64/B64)-1)*100</f>
        <v>-49.022795769957028</v>
      </c>
      <c r="K64" s="277"/>
    </row>
    <row r="65" spans="1:11" x14ac:dyDescent="0.25">
      <c r="A65" s="21" t="s">
        <v>899</v>
      </c>
      <c r="B65" s="48">
        <v>0.34736658999999898</v>
      </c>
      <c r="C65" s="276">
        <f t="shared" si="5"/>
        <v>2.9322948046049718E-3</v>
      </c>
      <c r="D65" s="48">
        <v>8.1639909999999871E-2</v>
      </c>
      <c r="E65" s="276">
        <f t="shared" si="6"/>
        <v>6.1868965937220794E-4</v>
      </c>
      <c r="F65" s="48">
        <v>0.69660398999999895</v>
      </c>
      <c r="G65" s="203">
        <f t="shared" si="7"/>
        <v>6.9881533081148101E-3</v>
      </c>
      <c r="H65" s="203" t="s">
        <v>240</v>
      </c>
      <c r="I65" s="203">
        <f>((F65/B65)-1)*100</f>
        <v>100.53856935406512</v>
      </c>
      <c r="K65" s="277"/>
    </row>
    <row r="66" spans="1:11" x14ac:dyDescent="0.25">
      <c r="A66" s="21" t="s">
        <v>816</v>
      </c>
      <c r="B66" s="48">
        <v>1.1202551399999989</v>
      </c>
      <c r="C66" s="276">
        <f t="shared" si="5"/>
        <v>9.4566329100735386E-3</v>
      </c>
      <c r="D66" s="48">
        <v>1.328533909999998</v>
      </c>
      <c r="E66" s="276">
        <f t="shared" si="6"/>
        <v>1.0067994835397633E-2</v>
      </c>
      <c r="F66" s="48">
        <v>0.69165594999999991</v>
      </c>
      <c r="G66" s="203">
        <f t="shared" si="7"/>
        <v>6.9385158346132909E-3</v>
      </c>
      <c r="H66" s="203">
        <f>((F66/D66)-1)*100</f>
        <v>-47.938404522922497</v>
      </c>
      <c r="I66" s="203" t="s">
        <v>240</v>
      </c>
      <c r="K66" s="277"/>
    </row>
    <row r="67" spans="1:11" x14ac:dyDescent="0.25">
      <c r="A67" s="21" t="s">
        <v>901</v>
      </c>
      <c r="B67" s="48">
        <v>3.6698999999999989E-2</v>
      </c>
      <c r="C67" s="276">
        <f t="shared" si="5"/>
        <v>3.0979458051563958E-4</v>
      </c>
      <c r="D67" s="48">
        <v>1.99551363999999</v>
      </c>
      <c r="E67" s="276">
        <f t="shared" si="6"/>
        <v>1.5122550407076519E-2</v>
      </c>
      <c r="F67" s="48">
        <v>0.66647071999999785</v>
      </c>
      <c r="G67" s="203">
        <f t="shared" si="7"/>
        <v>6.6858640398106978E-3</v>
      </c>
      <c r="H67" s="203" t="s">
        <v>240</v>
      </c>
      <c r="I67" s="203" t="s">
        <v>240</v>
      </c>
      <c r="K67" s="277"/>
    </row>
    <row r="68" spans="1:11" x14ac:dyDescent="0.25">
      <c r="A68" s="21" t="s">
        <v>280</v>
      </c>
      <c r="B68" s="48">
        <v>1.5498880000000002</v>
      </c>
      <c r="C68" s="276">
        <f t="shared" ref="C68:C99" si="10">(B68/$B$132)*100</f>
        <v>1.3083378370152424E-2</v>
      </c>
      <c r="D68" s="48">
        <v>0.20975328999999993</v>
      </c>
      <c r="E68" s="276">
        <f t="shared" ref="E68:E99" si="11">(D68/$D$132)*100</f>
        <v>1.5895680377685387E-3</v>
      </c>
      <c r="F68" s="48">
        <v>0.66500000000000004</v>
      </c>
      <c r="G68" s="203">
        <f t="shared" ref="G68:G99" si="12">(F68/$F$132)*100</f>
        <v>6.6711101524071894E-3</v>
      </c>
      <c r="H68" s="203">
        <f>((F68/D68)-1)*100</f>
        <v>217.03912725278363</v>
      </c>
      <c r="I68" s="203">
        <f>((F68/B68)-1)*100</f>
        <v>-57.093673865466407</v>
      </c>
      <c r="K68" s="277"/>
    </row>
    <row r="69" spans="1:11" x14ac:dyDescent="0.25">
      <c r="A69" s="21" t="s">
        <v>798</v>
      </c>
      <c r="B69" s="48">
        <v>13.978407700000002</v>
      </c>
      <c r="C69" s="276">
        <f t="shared" si="10"/>
        <v>0.11799871794049123</v>
      </c>
      <c r="D69" s="48">
        <v>2.0753019599999996</v>
      </c>
      <c r="E69" s="276">
        <f t="shared" si="11"/>
        <v>1.5727208208912494E-2</v>
      </c>
      <c r="F69" s="48">
        <v>0.5949406599999999</v>
      </c>
      <c r="G69" s="203">
        <f t="shared" si="12"/>
        <v>5.9682927473771923E-3</v>
      </c>
      <c r="H69" s="203" t="s">
        <v>240</v>
      </c>
      <c r="I69" s="203" t="s">
        <v>240</v>
      </c>
      <c r="K69" s="277"/>
    </row>
    <row r="70" spans="1:11" x14ac:dyDescent="0.25">
      <c r="A70" s="21" t="s">
        <v>315</v>
      </c>
      <c r="B70" s="48"/>
      <c r="C70" s="276">
        <f t="shared" si="10"/>
        <v>0</v>
      </c>
      <c r="D70" s="48"/>
      <c r="E70" s="276">
        <f t="shared" si="11"/>
        <v>0</v>
      </c>
      <c r="F70" s="48">
        <v>0.58050946999999908</v>
      </c>
      <c r="G70" s="203">
        <f t="shared" si="12"/>
        <v>5.8235227351661808E-3</v>
      </c>
      <c r="H70" s="203" t="s">
        <v>240</v>
      </c>
      <c r="I70" s="203" t="s">
        <v>240</v>
      </c>
      <c r="K70" s="277"/>
    </row>
    <row r="71" spans="1:11" x14ac:dyDescent="0.25">
      <c r="A71" s="21" t="s">
        <v>815</v>
      </c>
      <c r="B71" s="48">
        <v>3.9500000000000004E-3</v>
      </c>
      <c r="C71" s="276">
        <f t="shared" si="10"/>
        <v>3.3343921987977239E-5</v>
      </c>
      <c r="D71" s="48">
        <v>1.0679234499999999</v>
      </c>
      <c r="E71" s="276">
        <f t="shared" si="11"/>
        <v>8.0930171960759637E-3</v>
      </c>
      <c r="F71" s="48">
        <v>0.52413551999999997</v>
      </c>
      <c r="G71" s="203">
        <f t="shared" si="12"/>
        <v>5.2579936672319111E-3</v>
      </c>
      <c r="H71" s="203">
        <f>((F71/D71)-1)*100</f>
        <v>-50.920122598675022</v>
      </c>
      <c r="I71" s="203">
        <f>((F71/B71)-1)*100</f>
        <v>13169.253670886073</v>
      </c>
      <c r="K71" s="277"/>
    </row>
    <row r="72" spans="1:11" x14ac:dyDescent="0.25">
      <c r="A72" s="21" t="s">
        <v>809</v>
      </c>
      <c r="B72" s="48">
        <v>0.28899342999999994</v>
      </c>
      <c r="C72" s="276">
        <f t="shared" si="10"/>
        <v>2.4395378189766984E-3</v>
      </c>
      <c r="D72" s="48">
        <v>0.67395622999999971</v>
      </c>
      <c r="E72" s="276">
        <f t="shared" si="11"/>
        <v>5.1074254046884404E-3</v>
      </c>
      <c r="F72" s="48">
        <v>0.47268429999999889</v>
      </c>
      <c r="G72" s="203">
        <f t="shared" si="12"/>
        <v>4.7418481693435755E-3</v>
      </c>
      <c r="H72" s="203" t="s">
        <v>240</v>
      </c>
      <c r="I72" s="203" t="s">
        <v>240</v>
      </c>
      <c r="K72" s="277"/>
    </row>
    <row r="73" spans="1:11" x14ac:dyDescent="0.25">
      <c r="A73" s="21" t="s">
        <v>265</v>
      </c>
      <c r="B73" s="48">
        <v>6.2120512000000003</v>
      </c>
      <c r="C73" s="276">
        <f t="shared" si="10"/>
        <v>5.2439025467878576E-2</v>
      </c>
      <c r="D73" s="48">
        <v>7.3168233999999996</v>
      </c>
      <c r="E73" s="276">
        <f t="shared" si="11"/>
        <v>5.5448897200310571E-2</v>
      </c>
      <c r="F73" s="48">
        <v>0.4428985199999998</v>
      </c>
      <c r="G73" s="203">
        <f t="shared" si="12"/>
        <v>4.4430448319670935E-3</v>
      </c>
      <c r="H73" s="203">
        <f>((F73/D73)-1)*100</f>
        <v>-93.946846933602373</v>
      </c>
      <c r="I73" s="203">
        <f>((F73/B73)-1)*100</f>
        <v>-92.870333715214713</v>
      </c>
      <c r="K73" s="277"/>
    </row>
    <row r="74" spans="1:11" x14ac:dyDescent="0.25">
      <c r="A74" s="21" t="s">
        <v>886</v>
      </c>
      <c r="B74" s="48">
        <v>0.90956350999999791</v>
      </c>
      <c r="C74" s="276">
        <f t="shared" si="10"/>
        <v>7.6780796760887813E-3</v>
      </c>
      <c r="D74" s="48">
        <v>18.666019649999988</v>
      </c>
      <c r="E74" s="276">
        <f t="shared" si="11"/>
        <v>0.14145622329928401</v>
      </c>
      <c r="F74" s="48">
        <v>0.35370089999999899</v>
      </c>
      <c r="G74" s="203">
        <f t="shared" si="12"/>
        <v>3.5482370900835384E-3</v>
      </c>
      <c r="H74" s="203" t="s">
        <v>240</v>
      </c>
      <c r="I74" s="203" t="s">
        <v>240</v>
      </c>
      <c r="K74" s="277"/>
    </row>
    <row r="75" spans="1:11" x14ac:dyDescent="0.25">
      <c r="A75" s="21" t="s">
        <v>268</v>
      </c>
      <c r="B75" s="48">
        <v>1.070931439999999</v>
      </c>
      <c r="C75" s="276">
        <f t="shared" si="10"/>
        <v>9.040266934134707E-3</v>
      </c>
      <c r="D75" s="48">
        <v>4.5384000000000001E-2</v>
      </c>
      <c r="E75" s="276">
        <f t="shared" si="11"/>
        <v>3.4393241615465189E-4</v>
      </c>
      <c r="F75" s="48">
        <v>0.30788399999999999</v>
      </c>
      <c r="G75" s="203">
        <f t="shared" si="12"/>
        <v>3.0886136513740372E-3</v>
      </c>
      <c r="H75" s="203" t="s">
        <v>240</v>
      </c>
      <c r="I75" s="203" t="s">
        <v>240</v>
      </c>
      <c r="K75" s="277"/>
    </row>
    <row r="76" spans="1:11" x14ac:dyDescent="0.25">
      <c r="A76" s="21" t="s">
        <v>820</v>
      </c>
      <c r="B76" s="48">
        <v>0.31366962999999981</v>
      </c>
      <c r="C76" s="276">
        <f t="shared" si="10"/>
        <v>2.6478419424601717E-3</v>
      </c>
      <c r="D76" s="48">
        <v>0.51080552000000001</v>
      </c>
      <c r="E76" s="276">
        <f t="shared" si="11"/>
        <v>3.8710245169824914E-3</v>
      </c>
      <c r="F76" s="48">
        <v>0.29001650999999978</v>
      </c>
      <c r="G76" s="203">
        <f t="shared" si="12"/>
        <v>2.9093715552281196E-3</v>
      </c>
      <c r="H76" s="203" t="s">
        <v>240</v>
      </c>
      <c r="I76" s="203" t="s">
        <v>240</v>
      </c>
      <c r="K76" s="277"/>
    </row>
    <row r="77" spans="1:11" x14ac:dyDescent="0.25">
      <c r="A77" s="21" t="s">
        <v>808</v>
      </c>
      <c r="B77" s="48">
        <v>0.10931110999999999</v>
      </c>
      <c r="C77" s="276">
        <f t="shared" si="10"/>
        <v>9.2274965171118951E-4</v>
      </c>
      <c r="D77" s="48">
        <v>0.4215678799999989</v>
      </c>
      <c r="E77" s="276">
        <f t="shared" si="11"/>
        <v>3.1947571730476373E-3</v>
      </c>
      <c r="F77" s="48">
        <v>0.2524214999999998</v>
      </c>
      <c r="G77" s="203">
        <f t="shared" si="12"/>
        <v>2.5322280170463909E-3</v>
      </c>
      <c r="H77" s="203" t="s">
        <v>240</v>
      </c>
      <c r="I77" s="203">
        <f>((F77/B77)-1)*100</f>
        <v>130.92026052978497</v>
      </c>
      <c r="K77" s="277"/>
    </row>
    <row r="78" spans="1:11" x14ac:dyDescent="0.25">
      <c r="A78" s="21" t="s">
        <v>833</v>
      </c>
      <c r="B78" s="48">
        <v>0.28298850999999992</v>
      </c>
      <c r="C78" s="276">
        <f t="shared" si="10"/>
        <v>2.3888472913756744E-3</v>
      </c>
      <c r="D78" s="48">
        <v>7.6447999999999794E-2</v>
      </c>
      <c r="E78" s="276">
        <f t="shared" si="11"/>
        <v>5.7934393949829802E-4</v>
      </c>
      <c r="F78" s="48">
        <v>0.2506548799999998</v>
      </c>
      <c r="G78" s="203">
        <f t="shared" si="12"/>
        <v>2.5145057364186533E-3</v>
      </c>
      <c r="H78" s="203" t="s">
        <v>240</v>
      </c>
      <c r="I78" s="203" t="s">
        <v>240</v>
      </c>
      <c r="K78" s="277"/>
    </row>
    <row r="79" spans="1:11" x14ac:dyDescent="0.25">
      <c r="A79" s="21" t="s">
        <v>829</v>
      </c>
      <c r="B79" s="48">
        <v>0.55409800000000009</v>
      </c>
      <c r="C79" s="276">
        <f t="shared" si="10"/>
        <v>4.6774178444795485E-3</v>
      </c>
      <c r="D79" s="48">
        <v>2.0022735699999998</v>
      </c>
      <c r="E79" s="276">
        <f t="shared" si="11"/>
        <v>1.5173779013147816E-2</v>
      </c>
      <c r="F79" s="48">
        <v>0.22192551999999996</v>
      </c>
      <c r="G79" s="203">
        <f t="shared" si="12"/>
        <v>2.2263001346620216E-3</v>
      </c>
      <c r="H79" s="203" t="s">
        <v>240</v>
      </c>
      <c r="I79" s="203" t="s">
        <v>240</v>
      </c>
      <c r="K79" s="277"/>
    </row>
    <row r="80" spans="1:11" x14ac:dyDescent="0.25">
      <c r="A80" s="21" t="s">
        <v>810</v>
      </c>
      <c r="B80" s="48">
        <v>9.5555219999999982E-2</v>
      </c>
      <c r="C80" s="276">
        <f t="shared" si="10"/>
        <v>8.0662931676557016E-4</v>
      </c>
      <c r="D80" s="48">
        <v>1.7189376299999901</v>
      </c>
      <c r="E80" s="276">
        <f t="shared" si="11"/>
        <v>1.3026581445113865E-2</v>
      </c>
      <c r="F80" s="48">
        <v>0.20678913000000002</v>
      </c>
      <c r="G80" s="203">
        <f t="shared" si="12"/>
        <v>2.0744557361660905E-3</v>
      </c>
      <c r="H80" s="203" t="s">
        <v>240</v>
      </c>
      <c r="I80" s="203" t="s">
        <v>240</v>
      </c>
      <c r="K80" s="277"/>
    </row>
    <row r="81" spans="1:11" x14ac:dyDescent="0.25">
      <c r="A81" s="21" t="s">
        <v>823</v>
      </c>
      <c r="B81" s="48">
        <v>0.474102359999999</v>
      </c>
      <c r="C81" s="276">
        <f t="shared" si="10"/>
        <v>4.002134710419207E-3</v>
      </c>
      <c r="D81" s="48">
        <v>2.3136776899999902</v>
      </c>
      <c r="E81" s="276">
        <f t="shared" si="11"/>
        <v>1.7533684957800333E-2</v>
      </c>
      <c r="F81" s="48">
        <v>0.18201049999999991</v>
      </c>
      <c r="G81" s="203">
        <f t="shared" si="12"/>
        <v>1.8258828487138466E-3</v>
      </c>
      <c r="H81" s="203" t="s">
        <v>240</v>
      </c>
      <c r="I81" s="203" t="s">
        <v>240</v>
      </c>
      <c r="K81" s="277"/>
    </row>
    <row r="82" spans="1:11" x14ac:dyDescent="0.25">
      <c r="A82" s="21" t="s">
        <v>311</v>
      </c>
      <c r="B82" s="48">
        <v>5.2658849999999896E-2</v>
      </c>
      <c r="C82" s="276">
        <f t="shared" si="10"/>
        <v>4.4451964212065617E-4</v>
      </c>
      <c r="D82" s="48">
        <v>1.1368780300000001</v>
      </c>
      <c r="E82" s="276">
        <f t="shared" si="11"/>
        <v>8.6155739408390816E-3</v>
      </c>
      <c r="F82" s="48">
        <v>0.12619921999999989</v>
      </c>
      <c r="G82" s="203">
        <f t="shared" si="12"/>
        <v>1.2659983425080716E-3</v>
      </c>
      <c r="H82" s="203" t="s">
        <v>240</v>
      </c>
      <c r="I82" s="203">
        <f>((F82/B82)-1)*100</f>
        <v>139.65434110315766</v>
      </c>
      <c r="K82" s="277"/>
    </row>
    <row r="83" spans="1:11" x14ac:dyDescent="0.25">
      <c r="A83" s="21" t="s">
        <v>955</v>
      </c>
      <c r="B83" s="48"/>
      <c r="C83" s="276">
        <f t="shared" si="10"/>
        <v>0</v>
      </c>
      <c r="D83" s="48"/>
      <c r="E83" s="276">
        <f t="shared" si="11"/>
        <v>0</v>
      </c>
      <c r="F83" s="48">
        <v>0.11667043999999992</v>
      </c>
      <c r="G83" s="203">
        <f t="shared" si="12"/>
        <v>1.1704080552929522E-3</v>
      </c>
      <c r="H83" s="203" t="s">
        <v>240</v>
      </c>
      <c r="I83" s="203" t="s">
        <v>240</v>
      </c>
      <c r="K83" s="277"/>
    </row>
    <row r="84" spans="1:11" x14ac:dyDescent="0.25">
      <c r="A84" s="21" t="s">
        <v>283</v>
      </c>
      <c r="B84" s="48">
        <v>0.11418719999999997</v>
      </c>
      <c r="C84" s="276">
        <f t="shared" si="10"/>
        <v>9.6391116172798823E-4</v>
      </c>
      <c r="D84" s="48">
        <v>0.99414880000000005</v>
      </c>
      <c r="E84" s="276">
        <f t="shared" si="11"/>
        <v>7.5339326370802012E-3</v>
      </c>
      <c r="F84" s="48">
        <v>0.1021494299999999</v>
      </c>
      <c r="G84" s="203">
        <f t="shared" si="12"/>
        <v>1.0247369917828675E-3</v>
      </c>
      <c r="H84" s="203">
        <f>((F84/D84)-1)*100</f>
        <v>-89.724935542848328</v>
      </c>
      <c r="I84" s="203" t="s">
        <v>240</v>
      </c>
      <c r="K84" s="277"/>
    </row>
    <row r="85" spans="1:11" x14ac:dyDescent="0.25">
      <c r="A85" s="21" t="s">
        <v>278</v>
      </c>
      <c r="B85" s="48">
        <v>3.2040224799999999</v>
      </c>
      <c r="C85" s="276">
        <f t="shared" si="10"/>
        <v>2.7046753321733001E-2</v>
      </c>
      <c r="D85" s="48">
        <v>2.9344999999999897E-4</v>
      </c>
      <c r="E85" s="276">
        <f t="shared" si="11"/>
        <v>2.223844692415438E-6</v>
      </c>
      <c r="F85" s="48">
        <v>9.7093299999999993E-2</v>
      </c>
      <c r="G85" s="203">
        <f t="shared" si="12"/>
        <v>9.7401518700859682E-4</v>
      </c>
      <c r="H85" s="203" t="s">
        <v>240</v>
      </c>
      <c r="I85" s="203" t="s">
        <v>240</v>
      </c>
      <c r="K85" s="277"/>
    </row>
    <row r="86" spans="1:11" x14ac:dyDescent="0.25">
      <c r="A86" s="21" t="s">
        <v>792</v>
      </c>
      <c r="B86" s="48"/>
      <c r="C86" s="276">
        <f t="shared" si="10"/>
        <v>0</v>
      </c>
      <c r="D86" s="48"/>
      <c r="E86" s="276">
        <f t="shared" si="11"/>
        <v>0</v>
      </c>
      <c r="F86" s="48">
        <v>6.1393890000000007E-2</v>
      </c>
      <c r="G86" s="203">
        <f t="shared" si="12"/>
        <v>6.1588782387183487E-4</v>
      </c>
      <c r="H86" s="203" t="s">
        <v>240</v>
      </c>
      <c r="I86" s="203" t="s">
        <v>240</v>
      </c>
      <c r="K86" s="277"/>
    </row>
    <row r="87" spans="1:11" x14ac:dyDescent="0.25">
      <c r="A87" s="21" t="s">
        <v>906</v>
      </c>
      <c r="B87" s="48"/>
      <c r="C87" s="276">
        <f t="shared" si="10"/>
        <v>0</v>
      </c>
      <c r="D87" s="48"/>
      <c r="E87" s="276">
        <f t="shared" si="11"/>
        <v>0</v>
      </c>
      <c r="F87" s="48">
        <v>5.70129999999998E-2</v>
      </c>
      <c r="G87" s="203">
        <f t="shared" si="12"/>
        <v>5.7193985431457106E-4</v>
      </c>
      <c r="H87" s="203" t="s">
        <v>240</v>
      </c>
      <c r="I87" s="203" t="s">
        <v>240</v>
      </c>
      <c r="K87" s="277"/>
    </row>
    <row r="88" spans="1:11" x14ac:dyDescent="0.25">
      <c r="A88" s="21" t="s">
        <v>825</v>
      </c>
      <c r="B88" s="48"/>
      <c r="C88" s="276">
        <f t="shared" si="10"/>
        <v>0</v>
      </c>
      <c r="D88" s="48">
        <v>0.13430055999999999</v>
      </c>
      <c r="E88" s="276">
        <f t="shared" si="11"/>
        <v>1.0177665276688435E-3</v>
      </c>
      <c r="F88" s="48">
        <v>4.447000000000001E-2</v>
      </c>
      <c r="G88" s="203">
        <f t="shared" si="12"/>
        <v>4.4611168192112445E-4</v>
      </c>
      <c r="H88" s="203" t="s">
        <v>240</v>
      </c>
      <c r="I88" s="203" t="s">
        <v>240</v>
      </c>
      <c r="K88" s="277"/>
    </row>
    <row r="89" spans="1:11" x14ac:dyDescent="0.25">
      <c r="A89" s="21" t="s">
        <v>817</v>
      </c>
      <c r="B89" s="48">
        <v>1.5200209999999999E-2</v>
      </c>
      <c r="C89" s="276">
        <f t="shared" si="10"/>
        <v>1.2831256112427126E-4</v>
      </c>
      <c r="D89" s="48">
        <v>0.35564796999999998</v>
      </c>
      <c r="E89" s="276">
        <f t="shared" si="11"/>
        <v>2.6951979909791367E-3</v>
      </c>
      <c r="F89" s="48">
        <v>3.7816749999999996E-2</v>
      </c>
      <c r="G89" s="203">
        <f t="shared" si="12"/>
        <v>3.7936797722713464E-4</v>
      </c>
      <c r="H89" s="203" t="s">
        <v>240</v>
      </c>
      <c r="I89" s="203" t="s">
        <v>240</v>
      </c>
      <c r="K89" s="277"/>
    </row>
    <row r="90" spans="1:11" x14ac:dyDescent="0.25">
      <c r="A90" s="21" t="s">
        <v>881</v>
      </c>
      <c r="B90" s="48"/>
      <c r="C90" s="276">
        <f t="shared" si="10"/>
        <v>0</v>
      </c>
      <c r="D90" s="48">
        <v>1.92831511</v>
      </c>
      <c r="E90" s="276">
        <f t="shared" si="11"/>
        <v>1.4613301491490907E-2</v>
      </c>
      <c r="F90" s="48">
        <v>3.3689730000000001E-2</v>
      </c>
      <c r="G90" s="203">
        <f t="shared" si="12"/>
        <v>3.3796676666895796E-4</v>
      </c>
      <c r="H90" s="203" t="s">
        <v>240</v>
      </c>
      <c r="I90" s="203" t="s">
        <v>240</v>
      </c>
      <c r="K90" s="277"/>
    </row>
    <row r="91" spans="1:11" x14ac:dyDescent="0.25">
      <c r="A91" s="21" t="s">
        <v>811</v>
      </c>
      <c r="B91" s="48">
        <v>1.0784999999999999E-2</v>
      </c>
      <c r="C91" s="276">
        <f t="shared" si="10"/>
        <v>9.1041569276034052E-5</v>
      </c>
      <c r="D91" s="48">
        <v>0.29019434999999882</v>
      </c>
      <c r="E91" s="276">
        <f t="shared" si="11"/>
        <v>2.1991724825914044E-3</v>
      </c>
      <c r="F91" s="48">
        <v>3.1571999999999989E-2</v>
      </c>
      <c r="G91" s="203">
        <f t="shared" si="12"/>
        <v>3.1672224019819501E-4</v>
      </c>
      <c r="H91" s="203">
        <f>((F91/D91)-1)*100</f>
        <v>-89.120394659647886</v>
      </c>
      <c r="I91" s="203" t="s">
        <v>240</v>
      </c>
      <c r="K91" s="277"/>
    </row>
    <row r="92" spans="1:11" x14ac:dyDescent="0.25">
      <c r="A92" s="21" t="s">
        <v>336</v>
      </c>
      <c r="B92" s="48">
        <v>3.5186000000000002E-2</v>
      </c>
      <c r="C92" s="276">
        <f t="shared" si="10"/>
        <v>2.9702259216935877E-4</v>
      </c>
      <c r="D92" s="48"/>
      <c r="E92" s="276">
        <f t="shared" si="11"/>
        <v>0</v>
      </c>
      <c r="F92" s="48">
        <v>3.0040000000000001E-2</v>
      </c>
      <c r="G92" s="203">
        <f t="shared" si="12"/>
        <v>3.013536074861834E-4</v>
      </c>
      <c r="H92" s="203" t="s">
        <v>240</v>
      </c>
      <c r="I92" s="203" t="s">
        <v>240</v>
      </c>
      <c r="K92" s="277"/>
    </row>
    <row r="93" spans="1:11" x14ac:dyDescent="0.25">
      <c r="A93" s="21" t="s">
        <v>814</v>
      </c>
      <c r="B93" s="48"/>
      <c r="C93" s="276">
        <f t="shared" si="10"/>
        <v>0</v>
      </c>
      <c r="D93" s="48"/>
      <c r="E93" s="276">
        <f t="shared" si="11"/>
        <v>0</v>
      </c>
      <c r="F93" s="48">
        <v>1.3812120000000001E-2</v>
      </c>
      <c r="G93" s="203">
        <f t="shared" si="12"/>
        <v>1.3855966008761861E-4</v>
      </c>
      <c r="H93" s="203" t="s">
        <v>240</v>
      </c>
      <c r="I93" s="203" t="s">
        <v>240</v>
      </c>
      <c r="K93" s="277"/>
    </row>
    <row r="94" spans="1:11" x14ac:dyDescent="0.25">
      <c r="A94" s="21" t="s">
        <v>840</v>
      </c>
      <c r="B94" s="48">
        <v>1.5790000000000001E-3</v>
      </c>
      <c r="C94" s="276">
        <f t="shared" si="10"/>
        <v>1.3329127295953433E-5</v>
      </c>
      <c r="D94" s="48">
        <v>9.7499999999999996E-4</v>
      </c>
      <c r="E94" s="276">
        <f t="shared" si="11"/>
        <v>7.3888177716989594E-6</v>
      </c>
      <c r="F94" s="48">
        <v>7.5945600000000002E-3</v>
      </c>
      <c r="G94" s="203">
        <f t="shared" si="12"/>
        <v>7.6186686194083521E-5</v>
      </c>
      <c r="H94" s="203" t="s">
        <v>240</v>
      </c>
      <c r="I94" s="203" t="s">
        <v>240</v>
      </c>
      <c r="K94" s="277"/>
    </row>
    <row r="95" spans="1:11" x14ac:dyDescent="0.25">
      <c r="A95" s="21" t="s">
        <v>878</v>
      </c>
      <c r="B95" s="48"/>
      <c r="C95" s="276">
        <f t="shared" si="10"/>
        <v>0</v>
      </c>
      <c r="D95" s="48"/>
      <c r="E95" s="276">
        <f t="shared" si="11"/>
        <v>0</v>
      </c>
      <c r="F95" s="48">
        <v>5.0000000000000001E-3</v>
      </c>
      <c r="G95" s="203">
        <f t="shared" si="12"/>
        <v>5.0158722950429993E-5</v>
      </c>
      <c r="H95" s="203" t="s">
        <v>240</v>
      </c>
      <c r="I95" s="203" t="s">
        <v>240</v>
      </c>
      <c r="K95" s="277"/>
    </row>
    <row r="96" spans="1:11" x14ac:dyDescent="0.25">
      <c r="A96" s="21" t="s">
        <v>279</v>
      </c>
      <c r="B96" s="48">
        <v>0.20270650999999901</v>
      </c>
      <c r="C96" s="276">
        <f t="shared" si="10"/>
        <v>1.7111468495936951E-3</v>
      </c>
      <c r="D96" s="48"/>
      <c r="E96" s="276">
        <f t="shared" si="11"/>
        <v>0</v>
      </c>
      <c r="F96" s="48">
        <v>3.686E-3</v>
      </c>
      <c r="G96" s="203">
        <f t="shared" si="12"/>
        <v>3.6977010559056988E-5</v>
      </c>
      <c r="H96" s="203" t="s">
        <v>240</v>
      </c>
      <c r="I96" s="203" t="s">
        <v>240</v>
      </c>
      <c r="K96" s="277"/>
    </row>
    <row r="97" spans="1:11" x14ac:dyDescent="0.25">
      <c r="A97" s="21" t="s">
        <v>238</v>
      </c>
      <c r="B97" s="48"/>
      <c r="C97" s="276">
        <f t="shared" si="10"/>
        <v>0</v>
      </c>
      <c r="D97" s="48"/>
      <c r="E97" s="276">
        <f t="shared" si="11"/>
        <v>0</v>
      </c>
      <c r="F97" s="48">
        <v>5.0000000000000001E-4</v>
      </c>
      <c r="G97" s="203">
        <f t="shared" si="12"/>
        <v>5.0158722950429993E-6</v>
      </c>
      <c r="H97" s="203" t="s">
        <v>240</v>
      </c>
      <c r="I97" s="203" t="s">
        <v>240</v>
      </c>
      <c r="K97" s="277"/>
    </row>
    <row r="98" spans="1:11" x14ac:dyDescent="0.25">
      <c r="A98" s="21" t="s">
        <v>824</v>
      </c>
      <c r="B98" s="48"/>
      <c r="C98" s="276">
        <f t="shared" si="10"/>
        <v>0</v>
      </c>
      <c r="D98" s="48"/>
      <c r="E98" s="276">
        <f t="shared" si="11"/>
        <v>0</v>
      </c>
      <c r="F98" s="48">
        <v>2.5999999999999998E-4</v>
      </c>
      <c r="G98" s="203">
        <f t="shared" si="12"/>
        <v>2.6082535934223592E-6</v>
      </c>
      <c r="H98" s="203" t="s">
        <v>240</v>
      </c>
      <c r="I98" s="203" t="s">
        <v>240</v>
      </c>
      <c r="K98" s="277"/>
    </row>
    <row r="99" spans="1:11" x14ac:dyDescent="0.25">
      <c r="A99" s="21" t="s">
        <v>841</v>
      </c>
      <c r="B99" s="48"/>
      <c r="C99" s="276">
        <f t="shared" si="10"/>
        <v>0</v>
      </c>
      <c r="D99" s="48"/>
      <c r="E99" s="276">
        <f t="shared" si="11"/>
        <v>0</v>
      </c>
      <c r="F99" s="48">
        <v>1.7000000000000001E-4</v>
      </c>
      <c r="G99" s="203">
        <f t="shared" si="12"/>
        <v>1.7053965803146199E-6</v>
      </c>
      <c r="H99" s="203" t="s">
        <v>240</v>
      </c>
      <c r="I99" s="203" t="s">
        <v>240</v>
      </c>
      <c r="K99" s="277"/>
    </row>
    <row r="100" spans="1:11" x14ac:dyDescent="0.25">
      <c r="A100" s="21" t="s">
        <v>284</v>
      </c>
      <c r="B100" s="48"/>
      <c r="C100" s="276">
        <f t="shared" ref="C100:C131" si="13">(B100/$B$132)*100</f>
        <v>0</v>
      </c>
      <c r="D100" s="48"/>
      <c r="E100" s="276">
        <f t="shared" ref="E100:E131" si="14">(D100/$D$132)*100</f>
        <v>0</v>
      </c>
      <c r="F100" s="48">
        <v>8.0000000000000007E-5</v>
      </c>
      <c r="G100" s="203">
        <f t="shared" ref="G100:G131" si="15">(F100/$F$132)*100</f>
        <v>8.0253956720687986E-7</v>
      </c>
      <c r="H100" s="203" t="s">
        <v>240</v>
      </c>
      <c r="I100" s="203" t="s">
        <v>240</v>
      </c>
      <c r="K100" s="277"/>
    </row>
    <row r="101" spans="1:11" x14ac:dyDescent="0.25">
      <c r="A101" s="21" t="s">
        <v>921</v>
      </c>
      <c r="B101" s="48">
        <v>0.13860335999999901</v>
      </c>
      <c r="C101" s="276">
        <f t="shared" si="13"/>
        <v>1.1700201577497448E-3</v>
      </c>
      <c r="D101" s="48"/>
      <c r="E101" s="276">
        <f t="shared" si="14"/>
        <v>0</v>
      </c>
      <c r="F101" s="48"/>
      <c r="G101" s="203">
        <f t="shared" si="15"/>
        <v>0</v>
      </c>
      <c r="H101" s="203" t="s">
        <v>240</v>
      </c>
      <c r="I101" s="203" t="s">
        <v>240</v>
      </c>
      <c r="K101" s="277"/>
    </row>
    <row r="102" spans="1:11" x14ac:dyDescent="0.25">
      <c r="A102" s="21" t="s">
        <v>793</v>
      </c>
      <c r="B102" s="48"/>
      <c r="C102" s="276">
        <f t="shared" si="13"/>
        <v>0</v>
      </c>
      <c r="D102" s="48">
        <v>1.320726E-2</v>
      </c>
      <c r="E102" s="276">
        <f t="shared" si="14"/>
        <v>1.0008824349071672E-4</v>
      </c>
      <c r="F102" s="48"/>
      <c r="G102" s="203">
        <f t="shared" si="15"/>
        <v>0</v>
      </c>
      <c r="H102" s="203" t="s">
        <v>240</v>
      </c>
      <c r="I102" s="203" t="s">
        <v>240</v>
      </c>
      <c r="K102" s="277"/>
    </row>
    <row r="103" spans="1:11" x14ac:dyDescent="0.25">
      <c r="A103" s="21" t="s">
        <v>876</v>
      </c>
      <c r="B103" s="48">
        <v>3.3E-4</v>
      </c>
      <c r="C103" s="276">
        <f t="shared" si="13"/>
        <v>2.7856947483626553E-6</v>
      </c>
      <c r="D103" s="48">
        <v>6.6592999999999999E-2</v>
      </c>
      <c r="E103" s="276">
        <f t="shared" si="14"/>
        <v>5.046600429443578E-4</v>
      </c>
      <c r="F103" s="48"/>
      <c r="G103" s="203">
        <f t="shared" si="15"/>
        <v>0</v>
      </c>
      <c r="H103" s="203" t="s">
        <v>240</v>
      </c>
      <c r="I103" s="203" t="s">
        <v>240</v>
      </c>
      <c r="K103" s="277"/>
    </row>
    <row r="104" spans="1:11" x14ac:dyDescent="0.25">
      <c r="A104" s="21" t="s">
        <v>333</v>
      </c>
      <c r="B104" s="48"/>
      <c r="C104" s="276">
        <f t="shared" si="13"/>
        <v>0</v>
      </c>
      <c r="D104" s="48">
        <v>2.3290741899999903</v>
      </c>
      <c r="E104" s="276">
        <f t="shared" si="14"/>
        <v>1.7650363863258758E-2</v>
      </c>
      <c r="F104" s="48"/>
      <c r="G104" s="203">
        <f t="shared" si="15"/>
        <v>0</v>
      </c>
      <c r="H104" s="203" t="s">
        <v>240</v>
      </c>
      <c r="I104" s="203" t="s">
        <v>240</v>
      </c>
      <c r="K104" s="277"/>
    </row>
    <row r="105" spans="1:11" x14ac:dyDescent="0.25">
      <c r="A105" s="21" t="s">
        <v>900</v>
      </c>
      <c r="B105" s="48">
        <v>0.11586293</v>
      </c>
      <c r="C105" s="276">
        <f t="shared" si="13"/>
        <v>9.7805683524518176E-4</v>
      </c>
      <c r="D105" s="48">
        <v>3.7685150000000001E-2</v>
      </c>
      <c r="E105" s="276">
        <f t="shared" si="14"/>
        <v>2.8558841646065749E-4</v>
      </c>
      <c r="F105" s="48"/>
      <c r="G105" s="203">
        <f t="shared" si="15"/>
        <v>0</v>
      </c>
      <c r="H105" s="203" t="s">
        <v>240</v>
      </c>
      <c r="I105" s="203" t="s">
        <v>240</v>
      </c>
      <c r="K105" s="277"/>
    </row>
    <row r="106" spans="1:11" x14ac:dyDescent="0.25">
      <c r="A106" s="21" t="s">
        <v>821</v>
      </c>
      <c r="B106" s="48">
        <v>1E-4</v>
      </c>
      <c r="C106" s="276">
        <f t="shared" si="13"/>
        <v>8.4414992374625925E-7</v>
      </c>
      <c r="D106" s="48"/>
      <c r="E106" s="276">
        <f t="shared" si="14"/>
        <v>0</v>
      </c>
      <c r="F106" s="48"/>
      <c r="G106" s="203">
        <f t="shared" si="15"/>
        <v>0</v>
      </c>
      <c r="H106" s="203" t="s">
        <v>240</v>
      </c>
      <c r="I106" s="203" t="s">
        <v>240</v>
      </c>
      <c r="K106" s="277"/>
    </row>
    <row r="107" spans="1:11" x14ac:dyDescent="0.25">
      <c r="A107" s="21" t="s">
        <v>850</v>
      </c>
      <c r="B107" s="48">
        <v>0.14371099999999989</v>
      </c>
      <c r="C107" s="276">
        <f t="shared" si="13"/>
        <v>1.2131362969149857E-3</v>
      </c>
      <c r="D107" s="48">
        <v>0.23796290999999975</v>
      </c>
      <c r="E107" s="276">
        <f t="shared" si="14"/>
        <v>1.8033482855519985E-3</v>
      </c>
      <c r="F107" s="48"/>
      <c r="G107" s="203">
        <f t="shared" si="15"/>
        <v>0</v>
      </c>
      <c r="H107" s="203">
        <f>((F107/D107)-1)*100</f>
        <v>-100</v>
      </c>
      <c r="I107" s="203" t="s">
        <v>240</v>
      </c>
      <c r="K107" s="277"/>
    </row>
    <row r="108" spans="1:11" x14ac:dyDescent="0.25">
      <c r="A108" s="21" t="s">
        <v>842</v>
      </c>
      <c r="B108" s="48">
        <v>2.5441389999999901E-2</v>
      </c>
      <c r="C108" s="276">
        <f t="shared" si="13"/>
        <v>2.1476347428498756E-4</v>
      </c>
      <c r="D108" s="48"/>
      <c r="E108" s="276">
        <f t="shared" si="14"/>
        <v>0</v>
      </c>
      <c r="F108" s="48"/>
      <c r="G108" s="203">
        <f t="shared" si="15"/>
        <v>0</v>
      </c>
      <c r="H108" s="203" t="s">
        <v>240</v>
      </c>
      <c r="I108" s="203">
        <f>((F108/B108)-1)*100</f>
        <v>-100</v>
      </c>
      <c r="K108" s="277"/>
    </row>
    <row r="109" spans="1:11" x14ac:dyDescent="0.25">
      <c r="A109" s="21" t="s">
        <v>859</v>
      </c>
      <c r="B109" s="48"/>
      <c r="C109" s="276">
        <f t="shared" si="13"/>
        <v>0</v>
      </c>
      <c r="D109" s="48">
        <v>0.11054541</v>
      </c>
      <c r="E109" s="276">
        <f t="shared" si="14"/>
        <v>8.377434769105106E-4</v>
      </c>
      <c r="F109" s="48"/>
      <c r="G109" s="203">
        <f t="shared" si="15"/>
        <v>0</v>
      </c>
      <c r="H109" s="203" t="s">
        <v>240</v>
      </c>
      <c r="I109" s="203" t="s">
        <v>240</v>
      </c>
      <c r="K109" s="277"/>
    </row>
    <row r="110" spans="1:11" x14ac:dyDescent="0.25">
      <c r="A110" s="21" t="s">
        <v>898</v>
      </c>
      <c r="B110" s="48">
        <v>0.75840664000000002</v>
      </c>
      <c r="C110" s="276">
        <f t="shared" si="13"/>
        <v>6.4020890732465665E-3</v>
      </c>
      <c r="D110" s="48">
        <v>1.92E-3</v>
      </c>
      <c r="E110" s="276">
        <f t="shared" si="14"/>
        <v>1.4550287304268722E-5</v>
      </c>
      <c r="F110" s="48"/>
      <c r="G110" s="203">
        <f t="shared" si="15"/>
        <v>0</v>
      </c>
      <c r="H110" s="203" t="s">
        <v>240</v>
      </c>
      <c r="I110" s="203" t="s">
        <v>240</v>
      </c>
      <c r="K110" s="277"/>
    </row>
    <row r="111" spans="1:11" x14ac:dyDescent="0.25">
      <c r="A111" s="21" t="s">
        <v>834</v>
      </c>
      <c r="B111" s="48"/>
      <c r="C111" s="276">
        <f t="shared" si="13"/>
        <v>0</v>
      </c>
      <c r="D111" s="48">
        <v>1.55E-2</v>
      </c>
      <c r="E111" s="276">
        <f t="shared" si="14"/>
        <v>1.1746325688341936E-4</v>
      </c>
      <c r="F111" s="48"/>
      <c r="G111" s="203">
        <f t="shared" si="15"/>
        <v>0</v>
      </c>
      <c r="H111" s="203" t="s">
        <v>240</v>
      </c>
      <c r="I111" s="203" t="s">
        <v>240</v>
      </c>
      <c r="K111" s="277"/>
    </row>
    <row r="112" spans="1:11" x14ac:dyDescent="0.25">
      <c r="A112" s="21" t="s">
        <v>830</v>
      </c>
      <c r="B112" s="48">
        <v>0.119006</v>
      </c>
      <c r="C112" s="276">
        <f t="shared" si="13"/>
        <v>1.0045890582534732E-3</v>
      </c>
      <c r="D112" s="48"/>
      <c r="E112" s="276">
        <f t="shared" si="14"/>
        <v>0</v>
      </c>
      <c r="F112" s="48"/>
      <c r="G112" s="203">
        <f t="shared" si="15"/>
        <v>0</v>
      </c>
      <c r="H112" s="203" t="s">
        <v>240</v>
      </c>
      <c r="I112" s="203" t="s">
        <v>240</v>
      </c>
      <c r="K112" s="277"/>
    </row>
    <row r="113" spans="1:11" x14ac:dyDescent="0.25">
      <c r="A113" s="21" t="s">
        <v>913</v>
      </c>
      <c r="B113" s="48">
        <v>3.5588699999999904E-2</v>
      </c>
      <c r="C113" s="276">
        <f t="shared" si="13"/>
        <v>3.0042198391228416E-4</v>
      </c>
      <c r="D113" s="48">
        <v>2.5000000000000001E-4</v>
      </c>
      <c r="E113" s="276">
        <f t="shared" si="14"/>
        <v>1.8945686594099897E-6</v>
      </c>
      <c r="F113" s="48"/>
      <c r="G113" s="203">
        <f t="shared" si="15"/>
        <v>0</v>
      </c>
      <c r="H113" s="203" t="s">
        <v>240</v>
      </c>
      <c r="I113" s="203" t="s">
        <v>240</v>
      </c>
      <c r="K113" s="277"/>
    </row>
    <row r="114" spans="1:11" x14ac:dyDescent="0.25">
      <c r="A114" s="21" t="s">
        <v>912</v>
      </c>
      <c r="B114" s="48">
        <v>0.45574999999999999</v>
      </c>
      <c r="C114" s="276">
        <f t="shared" si="13"/>
        <v>3.8472132774735757E-3</v>
      </c>
      <c r="D114" s="48"/>
      <c r="E114" s="276">
        <f t="shared" si="14"/>
        <v>0</v>
      </c>
      <c r="F114" s="48"/>
      <c r="G114" s="203">
        <f t="shared" si="15"/>
        <v>0</v>
      </c>
      <c r="H114" s="203" t="s">
        <v>240</v>
      </c>
      <c r="I114" s="203" t="s">
        <v>240</v>
      </c>
      <c r="K114" s="277"/>
    </row>
    <row r="115" spans="1:11" x14ac:dyDescent="0.25">
      <c r="A115" s="21" t="s">
        <v>796</v>
      </c>
      <c r="B115" s="48">
        <v>0.92106223999999992</v>
      </c>
      <c r="C115" s="276">
        <f t="shared" si="13"/>
        <v>7.7751461966155859E-3</v>
      </c>
      <c r="D115" s="48"/>
      <c r="E115" s="276">
        <f t="shared" si="14"/>
        <v>0</v>
      </c>
      <c r="F115" s="48"/>
      <c r="G115" s="203">
        <f t="shared" si="15"/>
        <v>0</v>
      </c>
      <c r="H115" s="203" t="s">
        <v>240</v>
      </c>
      <c r="I115" s="203" t="s">
        <v>240</v>
      </c>
      <c r="K115" s="277"/>
    </row>
    <row r="116" spans="1:11" x14ac:dyDescent="0.25">
      <c r="A116" s="21" t="s">
        <v>884</v>
      </c>
      <c r="B116" s="48"/>
      <c r="C116" s="276">
        <f t="shared" si="13"/>
        <v>0</v>
      </c>
      <c r="D116" s="48">
        <v>1.6049999999999998E-2</v>
      </c>
      <c r="E116" s="276">
        <f t="shared" si="14"/>
        <v>1.2163130793412133E-4</v>
      </c>
      <c r="F116" s="48"/>
      <c r="G116" s="203">
        <f t="shared" si="15"/>
        <v>0</v>
      </c>
      <c r="H116" s="203" t="s">
        <v>240</v>
      </c>
      <c r="I116" s="203" t="s">
        <v>240</v>
      </c>
      <c r="K116" s="277"/>
    </row>
    <row r="117" spans="1:11" x14ac:dyDescent="0.25">
      <c r="A117" s="21" t="s">
        <v>273</v>
      </c>
      <c r="B117" s="48">
        <v>1.5111777499999897</v>
      </c>
      <c r="C117" s="276">
        <f t="shared" si="13"/>
        <v>1.2756605824295348E-2</v>
      </c>
      <c r="D117" s="48">
        <v>1.02895928</v>
      </c>
      <c r="E117" s="276">
        <f t="shared" si="14"/>
        <v>7.7977360147882735E-3</v>
      </c>
      <c r="F117" s="48"/>
      <c r="G117" s="203">
        <f t="shared" si="15"/>
        <v>0</v>
      </c>
      <c r="H117" s="203" t="s">
        <v>240</v>
      </c>
      <c r="I117" s="203" t="s">
        <v>240</v>
      </c>
      <c r="K117" s="277"/>
    </row>
    <row r="118" spans="1:11" x14ac:dyDescent="0.25">
      <c r="A118" s="21" t="s">
        <v>813</v>
      </c>
      <c r="B118" s="48">
        <v>0.15557299999999999</v>
      </c>
      <c r="C118" s="276">
        <f t="shared" si="13"/>
        <v>1.3132693608697678E-3</v>
      </c>
      <c r="D118" s="48">
        <v>0.2411847599999998</v>
      </c>
      <c r="E118" s="276">
        <f t="shared" si="14"/>
        <v>1.8277643496932791E-3</v>
      </c>
      <c r="F118" s="48"/>
      <c r="G118" s="203">
        <f t="shared" si="15"/>
        <v>0</v>
      </c>
      <c r="H118" s="203" t="s">
        <v>240</v>
      </c>
      <c r="I118" s="203">
        <f>((F118/B118)-1)*100</f>
        <v>-100</v>
      </c>
      <c r="K118" s="277"/>
    </row>
    <row r="119" spans="1:11" x14ac:dyDescent="0.25">
      <c r="A119" s="21" t="s">
        <v>286</v>
      </c>
      <c r="B119" s="48"/>
      <c r="C119" s="276">
        <f t="shared" si="13"/>
        <v>0</v>
      </c>
      <c r="D119" s="48">
        <v>1.2E-4</v>
      </c>
      <c r="E119" s="276">
        <f t="shared" si="14"/>
        <v>9.0939295651679512E-7</v>
      </c>
      <c r="F119" s="48"/>
      <c r="G119" s="203">
        <f t="shared" si="15"/>
        <v>0</v>
      </c>
      <c r="H119" s="203" t="s">
        <v>240</v>
      </c>
      <c r="I119" s="203" t="s">
        <v>240</v>
      </c>
      <c r="K119" s="277"/>
    </row>
    <row r="120" spans="1:11" x14ac:dyDescent="0.25">
      <c r="A120" s="21" t="s">
        <v>909</v>
      </c>
      <c r="B120" s="48"/>
      <c r="C120" s="276">
        <f t="shared" si="13"/>
        <v>0</v>
      </c>
      <c r="D120" s="48">
        <v>0.40632605999999999</v>
      </c>
      <c r="E120" s="276">
        <f t="shared" si="14"/>
        <v>3.0792504751101721E-3</v>
      </c>
      <c r="F120" s="48"/>
      <c r="G120" s="203">
        <f t="shared" si="15"/>
        <v>0</v>
      </c>
      <c r="H120" s="203" t="s">
        <v>240</v>
      </c>
      <c r="I120" s="203" t="s">
        <v>240</v>
      </c>
      <c r="K120" s="277"/>
    </row>
    <row r="121" spans="1:11" x14ac:dyDescent="0.25">
      <c r="A121" s="21" t="s">
        <v>294</v>
      </c>
      <c r="B121" s="48">
        <v>3.5329383699999903</v>
      </c>
      <c r="C121" s="276">
        <f t="shared" si="13"/>
        <v>2.9823296556357251E-2</v>
      </c>
      <c r="D121" s="48"/>
      <c r="E121" s="276">
        <f t="shared" si="14"/>
        <v>0</v>
      </c>
      <c r="F121" s="48"/>
      <c r="G121" s="203">
        <f t="shared" si="15"/>
        <v>0</v>
      </c>
      <c r="H121" s="203" t="s">
        <v>240</v>
      </c>
      <c r="I121" s="203">
        <f>((F121/B121)-1)*100</f>
        <v>-100</v>
      </c>
      <c r="K121" s="277"/>
    </row>
    <row r="122" spans="1:11" x14ac:dyDescent="0.25">
      <c r="A122" s="21" t="s">
        <v>879</v>
      </c>
      <c r="B122" s="48"/>
      <c r="C122" s="276">
        <f t="shared" si="13"/>
        <v>0</v>
      </c>
      <c r="D122" s="48">
        <v>0.32378000000000001</v>
      </c>
      <c r="E122" s="276">
        <f t="shared" si="14"/>
        <v>2.453693762175066E-3</v>
      </c>
      <c r="F122" s="48"/>
      <c r="G122" s="203">
        <f t="shared" si="15"/>
        <v>0</v>
      </c>
      <c r="H122" s="203" t="s">
        <v>240</v>
      </c>
      <c r="I122" s="203" t="s">
        <v>240</v>
      </c>
      <c r="K122" s="277"/>
    </row>
    <row r="123" spans="1:11" x14ac:dyDescent="0.25">
      <c r="A123" s="21" t="s">
        <v>942</v>
      </c>
      <c r="B123" s="48"/>
      <c r="C123" s="276">
        <f t="shared" si="13"/>
        <v>0</v>
      </c>
      <c r="D123" s="48">
        <v>0.42374472999999946</v>
      </c>
      <c r="E123" s="276">
        <f t="shared" si="14"/>
        <v>3.2112539401925881E-3</v>
      </c>
      <c r="F123" s="48"/>
      <c r="G123" s="203">
        <f t="shared" si="15"/>
        <v>0</v>
      </c>
      <c r="H123" s="203" t="s">
        <v>240</v>
      </c>
      <c r="I123" s="203" t="s">
        <v>240</v>
      </c>
      <c r="K123" s="277"/>
    </row>
    <row r="124" spans="1:11" x14ac:dyDescent="0.25">
      <c r="A124" s="21" t="s">
        <v>275</v>
      </c>
      <c r="B124" s="48">
        <v>0.70054251000000001</v>
      </c>
      <c r="C124" s="276">
        <f t="shared" si="13"/>
        <v>5.9136290639751309E-3</v>
      </c>
      <c r="D124" s="48">
        <v>9.2984999999999998E-2</v>
      </c>
      <c r="E124" s="276">
        <f t="shared" si="14"/>
        <v>7.0466586718095155E-4</v>
      </c>
      <c r="F124" s="48"/>
      <c r="G124" s="203">
        <f t="shared" si="15"/>
        <v>0</v>
      </c>
      <c r="H124" s="203" t="s">
        <v>240</v>
      </c>
      <c r="I124" s="203">
        <f>((F124/B124)-1)*100</f>
        <v>-100</v>
      </c>
      <c r="K124" s="277"/>
    </row>
    <row r="125" spans="1:11" x14ac:dyDescent="0.25">
      <c r="A125" s="21" t="s">
        <v>837</v>
      </c>
      <c r="B125" s="48"/>
      <c r="C125" s="276">
        <f t="shared" si="13"/>
        <v>0</v>
      </c>
      <c r="D125" s="48">
        <v>9.5348999999999892E-2</v>
      </c>
      <c r="E125" s="276">
        <f t="shared" si="14"/>
        <v>7.2258090842433165E-4</v>
      </c>
      <c r="F125" s="48"/>
      <c r="G125" s="203">
        <f t="shared" si="15"/>
        <v>0</v>
      </c>
      <c r="H125" s="203" t="s">
        <v>240</v>
      </c>
      <c r="I125" s="203" t="s">
        <v>240</v>
      </c>
      <c r="K125" s="277"/>
    </row>
    <row r="126" spans="1:11" x14ac:dyDescent="0.25">
      <c r="A126" s="21" t="s">
        <v>827</v>
      </c>
      <c r="B126" s="48">
        <v>0.12949470999999982</v>
      </c>
      <c r="C126" s="276">
        <f t="shared" si="13"/>
        <v>1.093129495720438E-3</v>
      </c>
      <c r="D126" s="48">
        <v>9.5229999999999794E-3</v>
      </c>
      <c r="E126" s="276">
        <f t="shared" si="14"/>
        <v>7.2167909374245179E-5</v>
      </c>
      <c r="F126" s="48"/>
      <c r="G126" s="203">
        <f t="shared" si="15"/>
        <v>0</v>
      </c>
      <c r="H126" s="203" t="s">
        <v>240</v>
      </c>
      <c r="I126" s="203" t="s">
        <v>240</v>
      </c>
      <c r="K126" s="277"/>
    </row>
    <row r="127" spans="1:11" x14ac:dyDescent="0.25">
      <c r="A127" s="21" t="s">
        <v>335</v>
      </c>
      <c r="B127" s="48">
        <v>0.21533927999999999</v>
      </c>
      <c r="C127" s="276">
        <f t="shared" si="13"/>
        <v>1.8177863679157435E-3</v>
      </c>
      <c r="D127" s="48"/>
      <c r="E127" s="276">
        <f t="shared" si="14"/>
        <v>0</v>
      </c>
      <c r="F127" s="48"/>
      <c r="G127" s="203">
        <f t="shared" si="15"/>
        <v>0</v>
      </c>
      <c r="H127" s="203" t="s">
        <v>240</v>
      </c>
      <c r="I127" s="203">
        <f>((F127/B127)-1)*100</f>
        <v>-100</v>
      </c>
      <c r="K127" s="277"/>
    </row>
    <row r="128" spans="1:11" x14ac:dyDescent="0.25">
      <c r="A128" s="21" t="s">
        <v>451</v>
      </c>
      <c r="B128" s="48">
        <v>0.249</v>
      </c>
      <c r="C128" s="276">
        <f t="shared" si="13"/>
        <v>2.1019333101281856E-3</v>
      </c>
      <c r="D128" s="48">
        <v>3.3E-4</v>
      </c>
      <c r="E128" s="276">
        <f t="shared" si="14"/>
        <v>2.5008306304211865E-6</v>
      </c>
      <c r="F128" s="48"/>
      <c r="G128" s="203">
        <f t="shared" si="15"/>
        <v>0</v>
      </c>
      <c r="H128" s="203" t="s">
        <v>240</v>
      </c>
      <c r="I128" s="203" t="s">
        <v>240</v>
      </c>
      <c r="K128" s="277"/>
    </row>
    <row r="129" spans="1:12" x14ac:dyDescent="0.25">
      <c r="A129" s="21" t="s">
        <v>897</v>
      </c>
      <c r="B129" s="48"/>
      <c r="C129" s="276">
        <f t="shared" si="13"/>
        <v>0</v>
      </c>
      <c r="D129" s="48">
        <v>0.458774139999999</v>
      </c>
      <c r="E129" s="276">
        <f t="shared" si="14"/>
        <v>3.4767164295670767E-3</v>
      </c>
      <c r="F129" s="48"/>
      <c r="G129" s="203">
        <f t="shared" si="15"/>
        <v>0</v>
      </c>
      <c r="H129" s="203" t="s">
        <v>240</v>
      </c>
      <c r="I129" s="203" t="s">
        <v>240</v>
      </c>
      <c r="K129" s="277"/>
    </row>
    <row r="130" spans="1:12" x14ac:dyDescent="0.25">
      <c r="A130" s="21" t="s">
        <v>281</v>
      </c>
      <c r="B130" s="48"/>
      <c r="C130" s="276">
        <f t="shared" si="13"/>
        <v>0</v>
      </c>
      <c r="D130" s="48">
        <v>2.5000000000000001E-3</v>
      </c>
      <c r="E130" s="276">
        <f t="shared" si="14"/>
        <v>1.8945686594099899E-5</v>
      </c>
      <c r="F130" s="48"/>
      <c r="G130" s="203">
        <f t="shared" si="15"/>
        <v>0</v>
      </c>
      <c r="H130" s="203" t="s">
        <v>240</v>
      </c>
      <c r="I130" s="203" t="s">
        <v>240</v>
      </c>
      <c r="K130" s="277"/>
      <c r="L130" s="45"/>
    </row>
    <row r="131" spans="1:12" x14ac:dyDescent="0.25">
      <c r="A131" s="54" t="s">
        <v>896</v>
      </c>
      <c r="B131" s="48"/>
      <c r="C131" s="276">
        <f t="shared" si="13"/>
        <v>0</v>
      </c>
      <c r="D131" s="48">
        <v>4.3863999999999904E-4</v>
      </c>
      <c r="E131" s="276">
        <f t="shared" si="14"/>
        <v>3.3241343870543842E-6</v>
      </c>
      <c r="F131" s="48"/>
      <c r="G131" s="203">
        <f t="shared" si="15"/>
        <v>0</v>
      </c>
      <c r="H131" s="203" t="s">
        <v>240</v>
      </c>
      <c r="I131" s="203" t="s">
        <v>240</v>
      </c>
      <c r="K131" s="277"/>
    </row>
    <row r="132" spans="1:12" ht="13" x14ac:dyDescent="0.3">
      <c r="A132" s="37" t="s">
        <v>217</v>
      </c>
      <c r="B132" s="25">
        <f>SUM(Table12[Column2])</f>
        <v>11846.23692864998</v>
      </c>
      <c r="C132" s="25">
        <f>SUM(Table12[Column3])</f>
        <v>100.00000000000006</v>
      </c>
      <c r="D132" s="25">
        <f>SUM(Table12[Column4])</f>
        <v>13195.615728059995</v>
      </c>
      <c r="E132" s="25">
        <f>SUM(Table12[Column5])</f>
        <v>99.999999999999886</v>
      </c>
      <c r="F132" s="25">
        <f>SUM(Table12[Column6])</f>
        <v>9968.3558629299932</v>
      </c>
      <c r="G132" s="25">
        <f>SUM(Table12[Column7])</f>
        <v>100.00000000000007</v>
      </c>
      <c r="H132" s="275">
        <f>((F132/D132)-1)*100</f>
        <v>-24.45706158498805</v>
      </c>
      <c r="I132" s="275">
        <f>((F132/B132)-1)*100</f>
        <v>-15.852131584320706</v>
      </c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0A89143B-99A5-4B32-818D-11814CE21257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P187"/>
  <sheetViews>
    <sheetView zoomScaleNormal="100" workbookViewId="0">
      <selection activeCell="A6" sqref="A6"/>
    </sheetView>
  </sheetViews>
  <sheetFormatPr defaultColWidth="9.1796875" defaultRowHeight="12.5" x14ac:dyDescent="0.25"/>
  <cols>
    <col min="1" max="1" width="17.81640625" style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16" ht="13" x14ac:dyDescent="0.3">
      <c r="A1" s="19" t="s">
        <v>923</v>
      </c>
      <c r="B1" s="19"/>
      <c r="D1" s="12"/>
      <c r="E1" s="12"/>
      <c r="F1" s="294"/>
      <c r="K1" s="293" t="s">
        <v>239</v>
      </c>
      <c r="L1" s="3"/>
      <c r="M1" s="3"/>
      <c r="N1" s="3"/>
      <c r="O1" s="3"/>
      <c r="P1" s="3"/>
    </row>
    <row r="2" spans="1:16" ht="14.15" customHeight="1" x14ac:dyDescent="0.3">
      <c r="A2" s="557" t="s">
        <v>904</v>
      </c>
      <c r="B2" s="560">
        <v>45597</v>
      </c>
      <c r="C2" s="560"/>
      <c r="D2" s="560">
        <v>45934</v>
      </c>
      <c r="E2" s="560"/>
      <c r="F2" s="560">
        <v>45962</v>
      </c>
      <c r="G2" s="560"/>
      <c r="H2" s="557" t="s">
        <v>233</v>
      </c>
      <c r="I2" s="557" t="s">
        <v>299</v>
      </c>
    </row>
    <row r="3" spans="1:16" ht="18.649999999999999" customHeight="1" x14ac:dyDescent="0.3">
      <c r="A3" s="559"/>
      <c r="B3" s="292" t="s">
        <v>902</v>
      </c>
      <c r="C3" s="291" t="s">
        <v>234</v>
      </c>
      <c r="D3" s="292" t="s">
        <v>902</v>
      </c>
      <c r="E3" s="291" t="s">
        <v>234</v>
      </c>
      <c r="F3" s="292" t="s">
        <v>902</v>
      </c>
      <c r="G3" s="291" t="s">
        <v>234</v>
      </c>
      <c r="H3" s="558"/>
      <c r="I3" s="558"/>
    </row>
    <row r="4" spans="1:16" ht="14.5" x14ac:dyDescent="0.35">
      <c r="A4" s="253" t="s">
        <v>235</v>
      </c>
      <c r="B4" s="394">
        <v>6163.0718348661039</v>
      </c>
      <c r="C4" s="288">
        <f t="shared" ref="C4:C35" si="0">(B4/$B$187)*100</f>
        <v>35.608011742600937</v>
      </c>
      <c r="D4" s="394">
        <v>5880.6281244799648</v>
      </c>
      <c r="E4" s="288">
        <f t="shared" ref="E4:E35" si="1">(D4/$D$187)*100</f>
        <v>36.574515793660368</v>
      </c>
      <c r="F4" s="394">
        <v>5725.5965248599841</v>
      </c>
      <c r="G4" s="288">
        <f>(F4/Table223729[[#Totals],[Column6]])*100</f>
        <v>39.727296163981485</v>
      </c>
      <c r="H4" s="288">
        <f t="shared" ref="H4:H51" si="2">((F4/D4)-1)*100</f>
        <v>-2.6363102093569402</v>
      </c>
      <c r="I4" s="287">
        <f t="shared" ref="I4:I38" si="3">((F4/B4)-1)*100</f>
        <v>-7.0983321585058938</v>
      </c>
      <c r="K4" s="289"/>
    </row>
    <row r="5" spans="1:16" ht="14.5" x14ac:dyDescent="0.35">
      <c r="A5" s="252" t="s">
        <v>246</v>
      </c>
      <c r="B5" s="395">
        <v>4345.8146669699827</v>
      </c>
      <c r="C5" s="288">
        <f t="shared" si="0"/>
        <v>25.108553630220094</v>
      </c>
      <c r="D5" s="395">
        <v>2331.7304221400009</v>
      </c>
      <c r="E5" s="288">
        <f t="shared" si="1"/>
        <v>14.502177207245095</v>
      </c>
      <c r="F5" s="395">
        <v>1976.4362705300007</v>
      </c>
      <c r="G5" s="288">
        <f>(F5/Table223729[[#Totals],[Column6]])*100</f>
        <v>13.713587523616239</v>
      </c>
      <c r="H5" s="288">
        <f t="shared" si="2"/>
        <v>-15.237359698035791</v>
      </c>
      <c r="I5" s="287">
        <f t="shared" si="3"/>
        <v>-54.520925948551223</v>
      </c>
      <c r="K5" s="289"/>
    </row>
    <row r="6" spans="1:16" ht="14.5" x14ac:dyDescent="0.35">
      <c r="A6" s="252" t="s">
        <v>255</v>
      </c>
      <c r="B6" s="395">
        <v>60.572560529999905</v>
      </c>
      <c r="C6" s="288">
        <f t="shared" si="0"/>
        <v>0.34996646224852934</v>
      </c>
      <c r="D6" s="395">
        <v>164.17711363999979</v>
      </c>
      <c r="E6" s="288">
        <f t="shared" si="1"/>
        <v>1.0210981392935388</v>
      </c>
      <c r="F6" s="395">
        <v>881.83020975999989</v>
      </c>
      <c r="G6" s="288">
        <f>(F6/Table223729[[#Totals],[Column6]])*100</f>
        <v>6.1186165943361042</v>
      </c>
      <c r="H6" s="288">
        <f t="shared" si="2"/>
        <v>437.12127726501365</v>
      </c>
      <c r="I6" s="287">
        <f t="shared" si="3"/>
        <v>1355.8245549538126</v>
      </c>
      <c r="K6" s="289"/>
    </row>
    <row r="7" spans="1:16" ht="14.5" x14ac:dyDescent="0.35">
      <c r="A7" s="252" t="s">
        <v>794</v>
      </c>
      <c r="B7" s="395">
        <v>1003.0615632199992</v>
      </c>
      <c r="C7" s="288">
        <f t="shared" si="0"/>
        <v>5.7953288357972488</v>
      </c>
      <c r="D7" s="395">
        <v>1170.5835234899985</v>
      </c>
      <c r="E7" s="288">
        <f t="shared" si="1"/>
        <v>7.2804341069381318</v>
      </c>
      <c r="F7" s="395">
        <v>573.13968311000031</v>
      </c>
      <c r="G7" s="288">
        <f>(F7/Table223729[[#Totals],[Column6]])*100</f>
        <v>3.976754183669672</v>
      </c>
      <c r="H7" s="288">
        <f t="shared" si="2"/>
        <v>-51.038121448930738</v>
      </c>
      <c r="I7" s="287">
        <f t="shared" si="3"/>
        <v>-42.860966452535187</v>
      </c>
      <c r="K7" s="289"/>
    </row>
    <row r="8" spans="1:16" ht="14.5" x14ac:dyDescent="0.35">
      <c r="A8" s="252" t="s">
        <v>792</v>
      </c>
      <c r="B8" s="395">
        <v>509.65624256999899</v>
      </c>
      <c r="C8" s="288">
        <f t="shared" si="0"/>
        <v>2.9446104079876698</v>
      </c>
      <c r="D8" s="395">
        <v>724.13894060999917</v>
      </c>
      <c r="E8" s="288">
        <f t="shared" si="1"/>
        <v>4.5037758823572993</v>
      </c>
      <c r="F8" s="395">
        <v>515.27106904999903</v>
      </c>
      <c r="G8" s="288">
        <f>(F8/Table223729[[#Totals],[Column6]])*100</f>
        <v>3.5752303320711643</v>
      </c>
      <c r="H8" s="288">
        <f t="shared" si="2"/>
        <v>-28.843618240451796</v>
      </c>
      <c r="I8" s="287">
        <f t="shared" si="3"/>
        <v>1.1016889446279876</v>
      </c>
      <c r="K8" s="289"/>
    </row>
    <row r="9" spans="1:16" ht="14.5" x14ac:dyDescent="0.35">
      <c r="A9" s="252" t="s">
        <v>247</v>
      </c>
      <c r="B9" s="395">
        <v>602.03265484999974</v>
      </c>
      <c r="C9" s="288">
        <f t="shared" si="0"/>
        <v>3.4783280834164971</v>
      </c>
      <c r="D9" s="395">
        <v>569.18024311999977</v>
      </c>
      <c r="E9" s="288">
        <f t="shared" si="1"/>
        <v>3.5400116026334874</v>
      </c>
      <c r="F9" s="395">
        <v>465.31746880999998</v>
      </c>
      <c r="G9" s="288">
        <f>(F9/Table223729[[#Totals],[Column6]])*100</f>
        <v>3.2286251421010048</v>
      </c>
      <c r="H9" s="288">
        <f t="shared" si="2"/>
        <v>-18.247782765731468</v>
      </c>
      <c r="I9" s="287">
        <f t="shared" si="3"/>
        <v>-22.708931972147461</v>
      </c>
      <c r="K9" s="289"/>
    </row>
    <row r="10" spans="1:16" ht="14.5" x14ac:dyDescent="0.35">
      <c r="A10" s="252" t="s">
        <v>257</v>
      </c>
      <c r="B10" s="395">
        <v>483.76975724000016</v>
      </c>
      <c r="C10" s="288">
        <f t="shared" si="0"/>
        <v>2.7950476090615575</v>
      </c>
      <c r="D10" s="395">
        <v>321.67453836999948</v>
      </c>
      <c r="E10" s="288">
        <f t="shared" si="1"/>
        <v>2.0006520111441946</v>
      </c>
      <c r="F10" s="395">
        <v>387.71905877999944</v>
      </c>
      <c r="G10" s="288">
        <f>(F10/Table223729[[#Totals],[Column6]])*100</f>
        <v>2.6902052580363849</v>
      </c>
      <c r="H10" s="288">
        <f t="shared" si="2"/>
        <v>20.531472818664188</v>
      </c>
      <c r="I10" s="287">
        <f t="shared" si="3"/>
        <v>-19.854630642475147</v>
      </c>
      <c r="K10" s="289"/>
    </row>
    <row r="11" spans="1:16" ht="14.5" x14ac:dyDescent="0.35">
      <c r="A11" s="252" t="s">
        <v>249</v>
      </c>
      <c r="B11" s="395">
        <v>264.22297247999904</v>
      </c>
      <c r="C11" s="288">
        <f t="shared" si="0"/>
        <v>1.5265852741658226</v>
      </c>
      <c r="D11" s="395">
        <v>368.01848876999998</v>
      </c>
      <c r="E11" s="288">
        <f t="shared" si="1"/>
        <v>2.2888878101040757</v>
      </c>
      <c r="F11" s="395">
        <v>358.16750936999904</v>
      </c>
      <c r="G11" s="288">
        <f>(F11/Table223729[[#Totals],[Column6]])*100</f>
        <v>2.4851605696064176</v>
      </c>
      <c r="H11" s="288">
        <f t="shared" si="2"/>
        <v>-2.6767620922864777</v>
      </c>
      <c r="I11" s="287">
        <f t="shared" si="3"/>
        <v>35.555022338987328</v>
      </c>
      <c r="K11" s="289"/>
    </row>
    <row r="12" spans="1:16" ht="14.5" x14ac:dyDescent="0.35">
      <c r="A12" s="252" t="s">
        <v>797</v>
      </c>
      <c r="B12" s="395">
        <v>265.44923868999859</v>
      </c>
      <c r="C12" s="288">
        <f t="shared" si="0"/>
        <v>1.5336701991472572</v>
      </c>
      <c r="D12" s="395">
        <v>225.70524600999977</v>
      </c>
      <c r="E12" s="288">
        <f t="shared" si="1"/>
        <v>1.40377182677824</v>
      </c>
      <c r="F12" s="395">
        <v>326.94643628999972</v>
      </c>
      <c r="G12" s="288">
        <f>(F12/Table223729[[#Totals],[Column6]])*100</f>
        <v>2.2685318198471474</v>
      </c>
      <c r="H12" s="288">
        <f t="shared" si="2"/>
        <v>44.855488328133283</v>
      </c>
      <c r="I12" s="287">
        <f t="shared" si="3"/>
        <v>23.167215661831243</v>
      </c>
      <c r="J12" s="2"/>
      <c r="K12" s="289"/>
    </row>
    <row r="13" spans="1:16" ht="14.5" x14ac:dyDescent="0.35">
      <c r="A13" s="252" t="s">
        <v>250</v>
      </c>
      <c r="B13" s="395">
        <v>221.67921057999999</v>
      </c>
      <c r="C13" s="288">
        <f t="shared" si="0"/>
        <v>1.2807827240901595</v>
      </c>
      <c r="D13" s="395">
        <v>90.740222599999953</v>
      </c>
      <c r="E13" s="288">
        <f t="shared" si="1"/>
        <v>0.56435803018872954</v>
      </c>
      <c r="F13" s="395">
        <v>296.98040157999873</v>
      </c>
      <c r="G13" s="288">
        <f>(F13/Table223729[[#Totals],[Column6]])*100</f>
        <v>2.0606112074506124</v>
      </c>
      <c r="H13" s="288">
        <f t="shared" si="2"/>
        <v>227.28639303558299</v>
      </c>
      <c r="I13" s="287">
        <f t="shared" si="3"/>
        <v>33.968539856751214</v>
      </c>
      <c r="K13" s="289"/>
    </row>
    <row r="14" spans="1:16" ht="14.5" x14ac:dyDescent="0.35">
      <c r="A14" s="252" t="s">
        <v>795</v>
      </c>
      <c r="B14" s="395">
        <v>762.82297513999981</v>
      </c>
      <c r="C14" s="288">
        <f t="shared" si="0"/>
        <v>4.4073167057123905</v>
      </c>
      <c r="D14" s="395">
        <v>1250.9770374999982</v>
      </c>
      <c r="E14" s="288">
        <f t="shared" si="1"/>
        <v>7.7804408724784393</v>
      </c>
      <c r="F14" s="395">
        <v>293.85721436999961</v>
      </c>
      <c r="G14" s="288">
        <f>(F14/Table223729[[#Totals],[Column6]])*100</f>
        <v>2.0389408395285158</v>
      </c>
      <c r="H14" s="288">
        <f t="shared" si="2"/>
        <v>-76.509783508316389</v>
      </c>
      <c r="I14" s="287">
        <f t="shared" si="3"/>
        <v>-61.477665992418693</v>
      </c>
      <c r="K14" s="289"/>
    </row>
    <row r="15" spans="1:16" ht="14.5" x14ac:dyDescent="0.35">
      <c r="A15" s="252" t="s">
        <v>882</v>
      </c>
      <c r="B15" s="395"/>
      <c r="C15" s="288">
        <f t="shared" si="0"/>
        <v>0</v>
      </c>
      <c r="D15" s="395"/>
      <c r="E15" s="288">
        <f t="shared" si="1"/>
        <v>0</v>
      </c>
      <c r="F15" s="395">
        <v>284.65060690000001</v>
      </c>
      <c r="G15" s="288">
        <f>(F15/Table223729[[#Totals],[Column6]])*100</f>
        <v>1.9750604001650136</v>
      </c>
      <c r="H15" s="288" t="s">
        <v>240</v>
      </c>
      <c r="I15" s="287" t="s">
        <v>240</v>
      </c>
      <c r="K15" s="289"/>
    </row>
    <row r="16" spans="1:16" ht="14.5" x14ac:dyDescent="0.35">
      <c r="A16" s="252" t="s">
        <v>793</v>
      </c>
      <c r="B16" s="395">
        <v>1.9870442299999898</v>
      </c>
      <c r="C16" s="288">
        <f t="shared" si="0"/>
        <v>1.1480426672074358E-2</v>
      </c>
      <c r="D16" s="395">
        <v>87.516960149999903</v>
      </c>
      <c r="E16" s="288">
        <f t="shared" si="1"/>
        <v>0.54431097723976174</v>
      </c>
      <c r="F16" s="395">
        <v>279.73917768000001</v>
      </c>
      <c r="G16" s="288">
        <f>(F16/Table223729[[#Totals],[Column6]])*100</f>
        <v>1.9409822386382294</v>
      </c>
      <c r="H16" s="288">
        <f t="shared" si="2"/>
        <v>219.63996144351952</v>
      </c>
      <c r="I16" s="287">
        <f t="shared" si="3"/>
        <v>13978.15555670854</v>
      </c>
      <c r="K16" s="289"/>
    </row>
    <row r="17" spans="1:11" ht="14.5" x14ac:dyDescent="0.35">
      <c r="A17" s="252" t="s">
        <v>891</v>
      </c>
      <c r="B17" s="395">
        <v>403.35233826999928</v>
      </c>
      <c r="C17" s="288">
        <f t="shared" si="0"/>
        <v>2.330424694430925</v>
      </c>
      <c r="D17" s="395">
        <v>329.96511675999943</v>
      </c>
      <c r="E17" s="288">
        <f t="shared" si="1"/>
        <v>2.0522151917849443</v>
      </c>
      <c r="F17" s="395">
        <v>276.6546954399999</v>
      </c>
      <c r="G17" s="288">
        <f>(F17/Table223729[[#Totals],[Column6]])*100</f>
        <v>1.9195804268044796</v>
      </c>
      <c r="H17" s="288">
        <f t="shared" si="2"/>
        <v>-16.156380966408324</v>
      </c>
      <c r="I17" s="287">
        <f t="shared" si="3"/>
        <v>-31.411158634511118</v>
      </c>
      <c r="K17" s="289"/>
    </row>
    <row r="18" spans="1:11" ht="14.5" x14ac:dyDescent="0.35">
      <c r="A18" s="252" t="s">
        <v>886</v>
      </c>
      <c r="B18" s="395">
        <v>3.8404600000000004E-3</v>
      </c>
      <c r="C18" s="288">
        <f t="shared" si="0"/>
        <v>2.2188796178449899E-5</v>
      </c>
      <c r="D18" s="395">
        <v>0.10756430999999989</v>
      </c>
      <c r="E18" s="288">
        <f t="shared" si="1"/>
        <v>6.6899529636165812E-4</v>
      </c>
      <c r="F18" s="395">
        <v>183.51139600999991</v>
      </c>
      <c r="G18" s="288">
        <f>(F18/Table223729[[#Totals],[Column6]])*100</f>
        <v>1.2733016633464649</v>
      </c>
      <c r="H18" s="288">
        <f t="shared" si="2"/>
        <v>170506.21316680236</v>
      </c>
      <c r="I18" s="287">
        <f t="shared" si="3"/>
        <v>4778270.1954974113</v>
      </c>
      <c r="K18" s="289"/>
    </row>
    <row r="19" spans="1:11" ht="14.5" x14ac:dyDescent="0.35">
      <c r="A19" s="252" t="s">
        <v>285</v>
      </c>
      <c r="B19" s="395">
        <v>23.197132539999966</v>
      </c>
      <c r="C19" s="288">
        <f t="shared" si="0"/>
        <v>0.13402468606743645</v>
      </c>
      <c r="D19" s="395">
        <v>20.429678909999975</v>
      </c>
      <c r="E19" s="288">
        <f t="shared" si="1"/>
        <v>0.12706221140607851</v>
      </c>
      <c r="F19" s="395">
        <v>163.18646807000005</v>
      </c>
      <c r="G19" s="288">
        <f>(F19/Table223729[[#Totals],[Column6]])*100</f>
        <v>1.13227628227428</v>
      </c>
      <c r="H19" s="288">
        <f t="shared" si="2"/>
        <v>698.77157535805964</v>
      </c>
      <c r="I19" s="287">
        <f t="shared" si="3"/>
        <v>603.47689650265841</v>
      </c>
      <c r="K19" s="289"/>
    </row>
    <row r="20" spans="1:11" ht="14.5" x14ac:dyDescent="0.35">
      <c r="A20" s="252" t="s">
        <v>337</v>
      </c>
      <c r="B20" s="395">
        <v>100.26667350999983</v>
      </c>
      <c r="C20" s="288">
        <f t="shared" si="0"/>
        <v>0.5793047660969175</v>
      </c>
      <c r="D20" s="395">
        <v>98.037435949999931</v>
      </c>
      <c r="E20" s="288">
        <f t="shared" si="1"/>
        <v>0.6097429855488995</v>
      </c>
      <c r="F20" s="395">
        <v>124.05213005999975</v>
      </c>
      <c r="G20" s="288">
        <f>(F20/Table223729[[#Totals],[Column6]])*100</f>
        <v>0.86074100563467093</v>
      </c>
      <c r="H20" s="288">
        <f t="shared" si="2"/>
        <v>26.535469698807269</v>
      </c>
      <c r="I20" s="287">
        <f t="shared" si="3"/>
        <v>23.722195737976428</v>
      </c>
      <c r="K20" s="289"/>
    </row>
    <row r="21" spans="1:11" ht="14.5" x14ac:dyDescent="0.35">
      <c r="A21" s="252" t="s">
        <v>248</v>
      </c>
      <c r="B21" s="395">
        <v>98.834322899999833</v>
      </c>
      <c r="C21" s="288">
        <f t="shared" si="0"/>
        <v>0.57102915959629819</v>
      </c>
      <c r="D21" s="395">
        <v>114.47201505999992</v>
      </c>
      <c r="E21" s="288">
        <f t="shared" si="1"/>
        <v>0.71195770827871174</v>
      </c>
      <c r="F21" s="395">
        <v>112.72015902999968</v>
      </c>
      <c r="G21" s="288">
        <f>(F21/Table223729[[#Totals],[Column6]])*100</f>
        <v>0.78211364038533915</v>
      </c>
      <c r="H21" s="288">
        <f t="shared" si="2"/>
        <v>-1.5303793063151883</v>
      </c>
      <c r="I21" s="287">
        <f t="shared" si="3"/>
        <v>14.049609207167313</v>
      </c>
      <c r="K21" s="289"/>
    </row>
    <row r="22" spans="1:11" ht="14.5" x14ac:dyDescent="0.35">
      <c r="A22" s="252" t="s">
        <v>890</v>
      </c>
      <c r="B22" s="395">
        <v>155.0917748599997</v>
      </c>
      <c r="C22" s="288">
        <f t="shared" si="0"/>
        <v>0.89606447699561342</v>
      </c>
      <c r="D22" s="395">
        <v>148.27335013999982</v>
      </c>
      <c r="E22" s="288">
        <f t="shared" si="1"/>
        <v>0.92218481966225774</v>
      </c>
      <c r="F22" s="395">
        <v>105.26467574999977</v>
      </c>
      <c r="G22" s="288">
        <f>(F22/Table223729[[#Totals],[Column6]])*100</f>
        <v>0.73038345104626201</v>
      </c>
      <c r="H22" s="288">
        <f t="shared" si="2"/>
        <v>-29.006341564004067</v>
      </c>
      <c r="I22" s="287">
        <f t="shared" si="3"/>
        <v>-32.127492998889537</v>
      </c>
      <c r="K22" s="289"/>
    </row>
    <row r="23" spans="1:11" ht="14.5" x14ac:dyDescent="0.35">
      <c r="A23" s="252" t="s">
        <v>256</v>
      </c>
      <c r="B23" s="395">
        <v>84.459007259999865</v>
      </c>
      <c r="C23" s="288">
        <f t="shared" si="0"/>
        <v>0.48797375770776341</v>
      </c>
      <c r="D23" s="395">
        <v>114.85930800999986</v>
      </c>
      <c r="E23" s="288">
        <f t="shared" si="1"/>
        <v>0.71436647343384541</v>
      </c>
      <c r="F23" s="395">
        <v>85.089677129999927</v>
      </c>
      <c r="G23" s="288">
        <f>(F23/Table223729[[#Totals],[Column6]])*100</f>
        <v>0.59039836096794018</v>
      </c>
      <c r="H23" s="288">
        <f t="shared" si="2"/>
        <v>-25.918344273333194</v>
      </c>
      <c r="I23" s="287">
        <f t="shared" si="3"/>
        <v>0.74671712403462376</v>
      </c>
      <c r="K23" s="289"/>
    </row>
    <row r="24" spans="1:11" ht="14.5" x14ac:dyDescent="0.35">
      <c r="A24" s="252" t="s">
        <v>888</v>
      </c>
      <c r="B24" s="395">
        <v>87.109303839999697</v>
      </c>
      <c r="C24" s="288">
        <f t="shared" si="0"/>
        <v>0.50328621783651339</v>
      </c>
      <c r="D24" s="395">
        <v>82.03884022999992</v>
      </c>
      <c r="E24" s="288">
        <f t="shared" si="1"/>
        <v>0.51023985774496738</v>
      </c>
      <c r="F24" s="395">
        <v>67.202968599999707</v>
      </c>
      <c r="G24" s="288">
        <f>(F24/Table223729[[#Totals],[Column6]])*100</f>
        <v>0.46629066946630943</v>
      </c>
      <c r="H24" s="288">
        <f t="shared" si="2"/>
        <v>-18.083960704962575</v>
      </c>
      <c r="I24" s="287">
        <f t="shared" si="3"/>
        <v>-22.852134459211705</v>
      </c>
      <c r="K24" s="289"/>
    </row>
    <row r="25" spans="1:11" ht="14.5" x14ac:dyDescent="0.35">
      <c r="A25" s="252" t="s">
        <v>802</v>
      </c>
      <c r="B25" s="395">
        <v>46.702536789999975</v>
      </c>
      <c r="C25" s="288">
        <f t="shared" si="0"/>
        <v>0.26983045516679438</v>
      </c>
      <c r="D25" s="395">
        <v>131.47600145999988</v>
      </c>
      <c r="E25" s="288">
        <f t="shared" si="1"/>
        <v>0.8177138547272651</v>
      </c>
      <c r="F25" s="395">
        <v>65.587051109999891</v>
      </c>
      <c r="G25" s="288">
        <f>(F25/Table223729[[#Totals],[Column6]])*100</f>
        <v>0.45507855690772314</v>
      </c>
      <c r="H25" s="288">
        <f t="shared" si="2"/>
        <v>-50.114811538473788</v>
      </c>
      <c r="I25" s="287">
        <f t="shared" si="3"/>
        <v>40.435735653750406</v>
      </c>
      <c r="K25" s="289"/>
    </row>
    <row r="26" spans="1:11" ht="14.5" x14ac:dyDescent="0.35">
      <c r="A26" s="252" t="s">
        <v>887</v>
      </c>
      <c r="B26" s="395">
        <v>53.75166435999985</v>
      </c>
      <c r="C26" s="288">
        <f t="shared" si="0"/>
        <v>0.31055777816628377</v>
      </c>
      <c r="D26" s="395">
        <v>88.510060449999941</v>
      </c>
      <c r="E26" s="288">
        <f t="shared" si="1"/>
        <v>0.55048755597219978</v>
      </c>
      <c r="F26" s="395">
        <v>65.56688755999977</v>
      </c>
      <c r="G26" s="288">
        <f>(F26/Table223729[[#Totals],[Column6]])*100</f>
        <v>0.4549386512543831</v>
      </c>
      <c r="H26" s="288">
        <f t="shared" si="2"/>
        <v>-25.921542447664415</v>
      </c>
      <c r="I26" s="287">
        <f t="shared" si="3"/>
        <v>21.981129962540113</v>
      </c>
      <c r="K26" s="289"/>
    </row>
    <row r="27" spans="1:11" ht="14.5" x14ac:dyDescent="0.35">
      <c r="A27" s="252" t="s">
        <v>451</v>
      </c>
      <c r="B27" s="395">
        <v>42.225254079999893</v>
      </c>
      <c r="C27" s="288">
        <f t="shared" si="0"/>
        <v>0.2439623264828634</v>
      </c>
      <c r="D27" s="395">
        <v>71.963535360000009</v>
      </c>
      <c r="E27" s="288">
        <f t="shared" si="1"/>
        <v>0.4475765861873322</v>
      </c>
      <c r="F27" s="395">
        <v>65.092273980000016</v>
      </c>
      <c r="G27" s="288">
        <f>(F27/Table223729[[#Totals],[Column6]])*100</f>
        <v>0.45164552464753427</v>
      </c>
      <c r="H27" s="288">
        <f t="shared" si="2"/>
        <v>-9.548254328565541</v>
      </c>
      <c r="I27" s="287">
        <f t="shared" si="3"/>
        <v>54.154842636769708</v>
      </c>
      <c r="K27" s="289"/>
    </row>
    <row r="28" spans="1:11" ht="14.5" x14ac:dyDescent="0.35">
      <c r="A28" s="252" t="s">
        <v>801</v>
      </c>
      <c r="B28" s="395">
        <v>52.310646679999856</v>
      </c>
      <c r="C28" s="288">
        <f t="shared" si="0"/>
        <v>0.30223209645339977</v>
      </c>
      <c r="D28" s="395">
        <v>23.26437195999997</v>
      </c>
      <c r="E28" s="288">
        <f t="shared" si="1"/>
        <v>0.14469256033016942</v>
      </c>
      <c r="F28" s="395">
        <v>54.673847099999897</v>
      </c>
      <c r="G28" s="288">
        <f>(F28/Table223729[[#Totals],[Column6]])*100</f>
        <v>0.37935682452214919</v>
      </c>
      <c r="H28" s="288">
        <f t="shared" si="2"/>
        <v>135.01105980425513</v>
      </c>
      <c r="I28" s="287">
        <f t="shared" si="3"/>
        <v>4.517627997329976</v>
      </c>
      <c r="K28" s="289"/>
    </row>
    <row r="29" spans="1:11" ht="14.5" x14ac:dyDescent="0.35">
      <c r="A29" s="252" t="s">
        <v>809</v>
      </c>
      <c r="B29" s="395">
        <v>91.196885269999854</v>
      </c>
      <c r="C29" s="288">
        <f t="shared" si="0"/>
        <v>0.52690279272938834</v>
      </c>
      <c r="D29" s="395">
        <v>39.149447369999862</v>
      </c>
      <c r="E29" s="288">
        <f t="shared" si="1"/>
        <v>0.24348964954721714</v>
      </c>
      <c r="F29" s="395">
        <v>48.935084229999866</v>
      </c>
      <c r="G29" s="288">
        <f>(F29/Table223729[[#Totals],[Column6]])*100</f>
        <v>0.33953817310976608</v>
      </c>
      <c r="H29" s="288">
        <f t="shared" si="2"/>
        <v>24.995593852235864</v>
      </c>
      <c r="I29" s="287">
        <f t="shared" si="3"/>
        <v>-46.341276804441954</v>
      </c>
      <c r="K29" s="289"/>
    </row>
    <row r="30" spans="1:11" ht="14.5" x14ac:dyDescent="0.35">
      <c r="A30" s="252" t="s">
        <v>800</v>
      </c>
      <c r="B30" s="395">
        <v>8.7797859299999974</v>
      </c>
      <c r="C30" s="288">
        <f t="shared" si="0"/>
        <v>5.0726444355934472E-2</v>
      </c>
      <c r="D30" s="395">
        <v>55.561491729999894</v>
      </c>
      <c r="E30" s="288">
        <f t="shared" si="1"/>
        <v>0.34556421759417355</v>
      </c>
      <c r="F30" s="395">
        <v>47.078873989999984</v>
      </c>
      <c r="G30" s="288">
        <f>(F30/Table223729[[#Totals],[Column6]])*100</f>
        <v>0.32665877903669288</v>
      </c>
      <c r="H30" s="288">
        <f t="shared" si="2"/>
        <v>-15.267080627030394</v>
      </c>
      <c r="I30" s="287">
        <f t="shared" si="3"/>
        <v>436.21892794828085</v>
      </c>
      <c r="K30" s="289"/>
    </row>
    <row r="31" spans="1:11" ht="14.5" x14ac:dyDescent="0.35">
      <c r="A31" s="252" t="s">
        <v>262</v>
      </c>
      <c r="B31" s="395">
        <v>95.806615579999828</v>
      </c>
      <c r="C31" s="288">
        <f t="shared" si="0"/>
        <v>0.55353615599478156</v>
      </c>
      <c r="D31" s="395">
        <v>46.582077609999963</v>
      </c>
      <c r="E31" s="288">
        <f t="shared" si="1"/>
        <v>0.28971682908432844</v>
      </c>
      <c r="F31" s="395">
        <v>45.714643709999898</v>
      </c>
      <c r="G31" s="288">
        <f>(F31/Table223729[[#Totals],[Column6]])*100</f>
        <v>0.31719300894022934</v>
      </c>
      <c r="H31" s="288">
        <f t="shared" si="2"/>
        <v>-1.8621623261686593</v>
      </c>
      <c r="I31" s="287">
        <f t="shared" si="3"/>
        <v>-52.284460281526648</v>
      </c>
      <c r="K31" s="289"/>
    </row>
    <row r="32" spans="1:11" ht="14.5" x14ac:dyDescent="0.35">
      <c r="A32" s="252" t="s">
        <v>245</v>
      </c>
      <c r="B32" s="395">
        <v>48.748558169999953</v>
      </c>
      <c r="C32" s="288">
        <f t="shared" si="0"/>
        <v>0.2816516305930637</v>
      </c>
      <c r="D32" s="395">
        <v>41.482395379999979</v>
      </c>
      <c r="E32" s="288">
        <f t="shared" si="1"/>
        <v>0.25799939953163453</v>
      </c>
      <c r="F32" s="395">
        <v>40.640590189999898</v>
      </c>
      <c r="G32" s="288">
        <f>(F32/Table223729[[#Totals],[Column6]])*100</f>
        <v>0.28198647175834818</v>
      </c>
      <c r="H32" s="288">
        <f t="shared" si="2"/>
        <v>-2.0293070886787334</v>
      </c>
      <c r="I32" s="287">
        <f t="shared" si="3"/>
        <v>-16.632221104315104</v>
      </c>
      <c r="K32" s="289"/>
    </row>
    <row r="33" spans="1:11" ht="14.5" x14ac:dyDescent="0.35">
      <c r="A33" s="252" t="s">
        <v>260</v>
      </c>
      <c r="B33" s="395">
        <v>82.963326239999773</v>
      </c>
      <c r="C33" s="288">
        <f t="shared" si="0"/>
        <v>0.4793322508828628</v>
      </c>
      <c r="D33" s="395">
        <v>55.309158199999928</v>
      </c>
      <c r="E33" s="288">
        <f t="shared" si="1"/>
        <v>0.34399483138526915</v>
      </c>
      <c r="F33" s="395">
        <v>35.350587289999993</v>
      </c>
      <c r="G33" s="288">
        <f>(F33/Table223729[[#Totals],[Column6]])*100</f>
        <v>0.24528156057500969</v>
      </c>
      <c r="H33" s="288">
        <f t="shared" si="2"/>
        <v>-36.085472206662438</v>
      </c>
      <c r="I33" s="287">
        <f t="shared" si="3"/>
        <v>-57.390103685408732</v>
      </c>
      <c r="K33" s="289"/>
    </row>
    <row r="34" spans="1:11" ht="14.5" x14ac:dyDescent="0.35">
      <c r="A34" s="252" t="s">
        <v>267</v>
      </c>
      <c r="B34" s="395">
        <v>20.940300849999993</v>
      </c>
      <c r="C34" s="288">
        <f t="shared" si="0"/>
        <v>0.12098552451426939</v>
      </c>
      <c r="D34" s="395">
        <v>43.781626259999939</v>
      </c>
      <c r="E34" s="288">
        <f t="shared" si="1"/>
        <v>0.27229944611743473</v>
      </c>
      <c r="F34" s="395">
        <v>31.73833472999997</v>
      </c>
      <c r="G34" s="288">
        <f>(F34/Table223729[[#Totals],[Column6]])*100</f>
        <v>0.22021779182233281</v>
      </c>
      <c r="H34" s="288">
        <f t="shared" si="2"/>
        <v>-27.507638611869112</v>
      </c>
      <c r="I34" s="287">
        <f t="shared" si="3"/>
        <v>51.565801071095784</v>
      </c>
      <c r="K34" s="289"/>
    </row>
    <row r="35" spans="1:11" ht="14.5" x14ac:dyDescent="0.35">
      <c r="A35" s="252" t="s">
        <v>259</v>
      </c>
      <c r="B35" s="395">
        <v>33.684984739999983</v>
      </c>
      <c r="C35" s="288">
        <f t="shared" si="0"/>
        <v>0.1946197228118649</v>
      </c>
      <c r="D35" s="395">
        <v>46.790337889999975</v>
      </c>
      <c r="E35" s="288">
        <f t="shared" si="1"/>
        <v>0.29101210209578515</v>
      </c>
      <c r="F35" s="395">
        <v>25.565753669999978</v>
      </c>
      <c r="G35" s="288">
        <f>(F35/Table223729[[#Totals],[Column6]])*100</f>
        <v>0.17738907435995466</v>
      </c>
      <c r="H35" s="288">
        <f t="shared" si="2"/>
        <v>-45.361040712929132</v>
      </c>
      <c r="I35" s="287">
        <f t="shared" si="3"/>
        <v>-24.10341323491426</v>
      </c>
      <c r="K35" s="289"/>
    </row>
    <row r="36" spans="1:11" ht="14.5" x14ac:dyDescent="0.35">
      <c r="A36" s="252" t="s">
        <v>251</v>
      </c>
      <c r="B36" s="395">
        <v>27.967723019999926</v>
      </c>
      <c r="C36" s="288">
        <f t="shared" ref="C36:C67" si="4">(B36/$B$187)*100</f>
        <v>0.16158744152161969</v>
      </c>
      <c r="D36" s="395">
        <v>37.139359219999932</v>
      </c>
      <c r="E36" s="288">
        <f t="shared" ref="E36:E67" si="5">(D36/$D$187)*100</f>
        <v>0.23098792367157805</v>
      </c>
      <c r="F36" s="395">
        <v>24.361399569999957</v>
      </c>
      <c r="G36" s="288">
        <f>(F36/Table223729[[#Totals],[Column6]])*100</f>
        <v>0.16903261197053115</v>
      </c>
      <c r="H36" s="288">
        <f t="shared" si="2"/>
        <v>-34.405439184634368</v>
      </c>
      <c r="I36" s="287">
        <f t="shared" si="3"/>
        <v>-12.894590837520315</v>
      </c>
      <c r="K36" s="289"/>
    </row>
    <row r="37" spans="1:11" ht="14.5" x14ac:dyDescent="0.35">
      <c r="A37" s="252" t="s">
        <v>254</v>
      </c>
      <c r="B37" s="395">
        <v>57.687069709999854</v>
      </c>
      <c r="C37" s="288">
        <f t="shared" si="4"/>
        <v>0.33329513441806907</v>
      </c>
      <c r="D37" s="395">
        <v>28.185167489999987</v>
      </c>
      <c r="E37" s="288">
        <f t="shared" si="5"/>
        <v>0.17529740559833956</v>
      </c>
      <c r="F37" s="395">
        <v>23.74456160999997</v>
      </c>
      <c r="G37" s="288">
        <f>(F37/Table223729[[#Totals],[Column6]])*100</f>
        <v>0.16475265542526885</v>
      </c>
      <c r="H37" s="288">
        <f t="shared" si="2"/>
        <v>-15.75511616730868</v>
      </c>
      <c r="I37" s="287">
        <f t="shared" si="3"/>
        <v>-58.839022801180803</v>
      </c>
      <c r="K37" s="289"/>
    </row>
    <row r="38" spans="1:11" ht="14.5" x14ac:dyDescent="0.35">
      <c r="A38" s="252" t="s">
        <v>812</v>
      </c>
      <c r="B38" s="395">
        <v>19.08177362999999</v>
      </c>
      <c r="C38" s="288">
        <f t="shared" si="4"/>
        <v>0.11024762288876588</v>
      </c>
      <c r="D38" s="395">
        <v>23.937839179999976</v>
      </c>
      <c r="E38" s="288">
        <f t="shared" si="5"/>
        <v>0.14888118388415092</v>
      </c>
      <c r="F38" s="395">
        <v>23.184163609999953</v>
      </c>
      <c r="G38" s="288">
        <f>(F38/Table223729[[#Totals],[Column6]])*100</f>
        <v>0.16086430995435777</v>
      </c>
      <c r="H38" s="288">
        <f t="shared" si="2"/>
        <v>-3.1484695186260514</v>
      </c>
      <c r="I38" s="287">
        <f t="shared" si="3"/>
        <v>21.498997208258807</v>
      </c>
      <c r="K38" s="289"/>
    </row>
    <row r="39" spans="1:11" ht="14.5" x14ac:dyDescent="0.35">
      <c r="A39" s="252" t="s">
        <v>277</v>
      </c>
      <c r="B39" s="395">
        <v>1.5698351499999983</v>
      </c>
      <c r="C39" s="288">
        <f t="shared" si="4"/>
        <v>9.0699427092369878E-3</v>
      </c>
      <c r="D39" s="395">
        <v>2.739452189999998</v>
      </c>
      <c r="E39" s="288">
        <f t="shared" si="5"/>
        <v>1.7037999218492118E-2</v>
      </c>
      <c r="F39" s="395">
        <v>22.479425299999999</v>
      </c>
      <c r="G39" s="288">
        <f>(F39/Table223729[[#Totals],[Column6]])*100</f>
        <v>0.15597445307430866</v>
      </c>
      <c r="H39" s="288">
        <f t="shared" si="2"/>
        <v>720.58104105843199</v>
      </c>
      <c r="I39" s="287" t="s">
        <v>240</v>
      </c>
      <c r="K39" s="289"/>
    </row>
    <row r="40" spans="1:11" ht="14.5" x14ac:dyDescent="0.35">
      <c r="A40" s="252" t="s">
        <v>819</v>
      </c>
      <c r="B40" s="395">
        <v>14.476054649999996</v>
      </c>
      <c r="C40" s="288">
        <f t="shared" si="4"/>
        <v>8.3637435644936226E-2</v>
      </c>
      <c r="D40" s="395">
        <v>25.756357679999979</v>
      </c>
      <c r="E40" s="288">
        <f t="shared" si="5"/>
        <v>0.16019144397736082</v>
      </c>
      <c r="F40" s="395">
        <v>21.497197659999966</v>
      </c>
      <c r="G40" s="288">
        <f>(F40/Table223729[[#Totals],[Column6]])*100</f>
        <v>0.14915922461989287</v>
      </c>
      <c r="H40" s="288">
        <f t="shared" si="2"/>
        <v>-16.53634443548393</v>
      </c>
      <c r="I40" s="287">
        <f t="shared" ref="I40:I62" si="6">((F40/B40)-1)*100</f>
        <v>48.50177192443779</v>
      </c>
      <c r="K40" s="289"/>
    </row>
    <row r="41" spans="1:11" ht="14.5" x14ac:dyDescent="0.35">
      <c r="A41" s="252" t="s">
        <v>806</v>
      </c>
      <c r="B41" s="395">
        <v>32.975117219999909</v>
      </c>
      <c r="C41" s="288">
        <f t="shared" si="4"/>
        <v>0.1905183636739014</v>
      </c>
      <c r="D41" s="395">
        <v>105.38120203000001</v>
      </c>
      <c r="E41" s="288">
        <f t="shared" si="5"/>
        <v>0.65541747521094773</v>
      </c>
      <c r="F41" s="395">
        <v>20.166365929999881</v>
      </c>
      <c r="G41" s="288">
        <f>(F41/Table223729[[#Totals],[Column6]])*100</f>
        <v>0.13992519178984986</v>
      </c>
      <c r="H41" s="288">
        <f t="shared" si="2"/>
        <v>-80.863412504766359</v>
      </c>
      <c r="I41" s="287">
        <f t="shared" si="6"/>
        <v>-38.843686906536078</v>
      </c>
      <c r="K41" s="289"/>
    </row>
    <row r="42" spans="1:11" ht="14.5" x14ac:dyDescent="0.35">
      <c r="A42" s="252" t="s">
        <v>818</v>
      </c>
      <c r="B42" s="395">
        <v>12.985407289999984</v>
      </c>
      <c r="C42" s="288">
        <f t="shared" si="4"/>
        <v>7.5025011496530902E-2</v>
      </c>
      <c r="D42" s="395">
        <v>25.841804919999994</v>
      </c>
      <c r="E42" s="288">
        <f t="shared" si="5"/>
        <v>0.16072288234801646</v>
      </c>
      <c r="F42" s="395">
        <v>16.772270799999973</v>
      </c>
      <c r="G42" s="288">
        <f>(F42/Table223729[[#Totals],[Column6]])*100</f>
        <v>0.11637511768791495</v>
      </c>
      <c r="H42" s="288">
        <f t="shared" si="2"/>
        <v>-35.096364778223176</v>
      </c>
      <c r="I42" s="287">
        <f t="shared" si="6"/>
        <v>29.162454634104851</v>
      </c>
      <c r="K42" s="289"/>
    </row>
    <row r="43" spans="1:11" ht="14.5" x14ac:dyDescent="0.35">
      <c r="A43" s="252" t="s">
        <v>799</v>
      </c>
      <c r="B43" s="395">
        <v>7.5093375599999819</v>
      </c>
      <c r="C43" s="288">
        <f t="shared" si="4"/>
        <v>4.3386250749654437E-2</v>
      </c>
      <c r="D43" s="395">
        <v>26.206938470000001</v>
      </c>
      <c r="E43" s="288">
        <f t="shared" si="5"/>
        <v>0.16299382730637521</v>
      </c>
      <c r="F43" s="395">
        <v>15.857543939999996</v>
      </c>
      <c r="G43" s="288">
        <f>(F43/Table223729[[#Totals],[Column6]])*100</f>
        <v>0.11002824628009136</v>
      </c>
      <c r="H43" s="288">
        <f t="shared" si="2"/>
        <v>-39.491047540128811</v>
      </c>
      <c r="I43" s="287">
        <f t="shared" si="6"/>
        <v>111.17100960367581</v>
      </c>
      <c r="K43" s="289"/>
    </row>
    <row r="44" spans="1:11" ht="14.5" x14ac:dyDescent="0.35">
      <c r="A44" s="252" t="s">
        <v>808</v>
      </c>
      <c r="B44" s="395">
        <v>15.899151439999994</v>
      </c>
      <c r="C44" s="288">
        <f t="shared" si="4"/>
        <v>9.185957690288872E-2</v>
      </c>
      <c r="D44" s="395">
        <v>15.92340110999997</v>
      </c>
      <c r="E44" s="288">
        <f t="shared" si="5"/>
        <v>9.9035455576947373E-2</v>
      </c>
      <c r="F44" s="395">
        <v>14.579749310000004</v>
      </c>
      <c r="G44" s="288">
        <f>(F44/Table223729[[#Totals],[Column6]])*100</f>
        <v>0.10116221363487346</v>
      </c>
      <c r="H44" s="288">
        <f t="shared" si="2"/>
        <v>-8.4382211483459137</v>
      </c>
      <c r="I44" s="287">
        <f t="shared" si="6"/>
        <v>-8.2985694864227906</v>
      </c>
      <c r="K44" s="289"/>
    </row>
    <row r="45" spans="1:11" ht="14.5" x14ac:dyDescent="0.35">
      <c r="A45" s="252" t="s">
        <v>266</v>
      </c>
      <c r="B45" s="395">
        <v>15.510468959999979</v>
      </c>
      <c r="C45" s="288">
        <f t="shared" si="4"/>
        <v>8.9613909371693307E-2</v>
      </c>
      <c r="D45" s="395">
        <v>21.716839949999994</v>
      </c>
      <c r="E45" s="288">
        <f t="shared" si="5"/>
        <v>0.1350676983693658</v>
      </c>
      <c r="F45" s="395">
        <v>13.494927559999953</v>
      </c>
      <c r="G45" s="288">
        <f>(F45/Table223729[[#Totals],[Column6]])*100</f>
        <v>9.3635131563990975E-2</v>
      </c>
      <c r="H45" s="288">
        <f t="shared" si="2"/>
        <v>-37.859616817777599</v>
      </c>
      <c r="I45" s="287">
        <f t="shared" si="6"/>
        <v>-12.994716054027222</v>
      </c>
      <c r="K45" s="289"/>
    </row>
    <row r="46" spans="1:11" ht="14.5" x14ac:dyDescent="0.35">
      <c r="A46" s="252" t="s">
        <v>813</v>
      </c>
      <c r="B46" s="395">
        <v>60.419980189999947</v>
      </c>
      <c r="C46" s="288">
        <f t="shared" si="4"/>
        <v>0.34908490793860353</v>
      </c>
      <c r="D46" s="395">
        <v>18.25716779999998</v>
      </c>
      <c r="E46" s="288">
        <f t="shared" si="5"/>
        <v>0.11355029733454824</v>
      </c>
      <c r="F46" s="395">
        <v>13.372794979999989</v>
      </c>
      <c r="G46" s="288">
        <f>(F46/Table223729[[#Totals],[Column6]])*100</f>
        <v>9.2787709438477445E-2</v>
      </c>
      <c r="H46" s="288">
        <f t="shared" si="2"/>
        <v>-26.75317920888034</v>
      </c>
      <c r="I46" s="287">
        <f t="shared" si="6"/>
        <v>-77.866932531346137</v>
      </c>
      <c r="K46" s="289"/>
    </row>
    <row r="47" spans="1:11" ht="14.5" x14ac:dyDescent="0.35">
      <c r="A47" s="252" t="s">
        <v>811</v>
      </c>
      <c r="B47" s="395">
        <v>11.794976490000003</v>
      </c>
      <c r="C47" s="288">
        <f t="shared" si="4"/>
        <v>6.8147130621388705E-2</v>
      </c>
      <c r="D47" s="395">
        <v>14.770114089999977</v>
      </c>
      <c r="E47" s="288">
        <f t="shared" si="5"/>
        <v>9.1862596923970849E-2</v>
      </c>
      <c r="F47" s="395">
        <v>12.529994319999981</v>
      </c>
      <c r="G47" s="288">
        <f>(F47/Table223729[[#Totals],[Column6]])*100</f>
        <v>8.693990104303026E-2</v>
      </c>
      <c r="H47" s="288">
        <f t="shared" si="2"/>
        <v>-15.166570524439326</v>
      </c>
      <c r="I47" s="287">
        <f t="shared" si="6"/>
        <v>6.2316175926517392</v>
      </c>
      <c r="K47" s="289"/>
    </row>
    <row r="48" spans="1:11" ht="14.5" x14ac:dyDescent="0.35">
      <c r="A48" s="252" t="s">
        <v>816</v>
      </c>
      <c r="B48" s="395">
        <v>13.713888609999982</v>
      </c>
      <c r="C48" s="288">
        <f t="shared" si="4"/>
        <v>7.923391447411382E-2</v>
      </c>
      <c r="D48" s="395">
        <v>20.585592529999978</v>
      </c>
      <c r="E48" s="288">
        <f t="shared" si="5"/>
        <v>0.12803191481809986</v>
      </c>
      <c r="F48" s="395">
        <v>12.282465589999982</v>
      </c>
      <c r="G48" s="288">
        <f>(F48/Table223729[[#Totals],[Column6]])*100</f>
        <v>8.5222412372093118E-2</v>
      </c>
      <c r="H48" s="288">
        <f t="shared" si="2"/>
        <v>-40.334651178486169</v>
      </c>
      <c r="I48" s="287">
        <f t="shared" si="6"/>
        <v>-10.437761751661201</v>
      </c>
      <c r="K48" s="289"/>
    </row>
    <row r="49" spans="1:11" ht="14.5" x14ac:dyDescent="0.35">
      <c r="A49" s="252" t="s">
        <v>889</v>
      </c>
      <c r="B49" s="395">
        <v>19.373375829999976</v>
      </c>
      <c r="C49" s="288">
        <f t="shared" si="4"/>
        <v>0.11193239548918021</v>
      </c>
      <c r="D49" s="395">
        <v>26.18639005999994</v>
      </c>
      <c r="E49" s="288">
        <f t="shared" si="5"/>
        <v>0.16286602664798069</v>
      </c>
      <c r="F49" s="395">
        <v>10.995993009999976</v>
      </c>
      <c r="G49" s="288">
        <f>(F49/Table223729[[#Totals],[Column6]])*100</f>
        <v>7.6296167399958717E-2</v>
      </c>
      <c r="H49" s="288">
        <f t="shared" si="2"/>
        <v>-58.008748113790219</v>
      </c>
      <c r="I49" s="287">
        <f t="shared" si="6"/>
        <v>-43.241729750720523</v>
      </c>
      <c r="K49" s="289"/>
    </row>
    <row r="50" spans="1:11" ht="14.5" x14ac:dyDescent="0.35">
      <c r="A50" s="252" t="s">
        <v>807</v>
      </c>
      <c r="B50" s="395">
        <v>2.3336779999999999</v>
      </c>
      <c r="C50" s="288">
        <f t="shared" si="4"/>
        <v>1.3483151884964977E-2</v>
      </c>
      <c r="D50" s="395">
        <v>95.386911799999979</v>
      </c>
      <c r="E50" s="288">
        <f t="shared" si="5"/>
        <v>0.59325807350657844</v>
      </c>
      <c r="F50" s="395">
        <v>10.735855959999999</v>
      </c>
      <c r="G50" s="288">
        <f>(F50/Table223729[[#Totals],[Column6]])*100</f>
        <v>7.4491195361900853E-2</v>
      </c>
      <c r="H50" s="288">
        <f t="shared" si="2"/>
        <v>-88.744938107955392</v>
      </c>
      <c r="I50" s="287">
        <f t="shared" si="6"/>
        <v>360.04015806807968</v>
      </c>
      <c r="K50" s="289"/>
    </row>
    <row r="51" spans="1:11" ht="14.5" x14ac:dyDescent="0.35">
      <c r="A51" s="252" t="s">
        <v>238</v>
      </c>
      <c r="B51" s="395">
        <v>8.3882881599999877</v>
      </c>
      <c r="C51" s="288">
        <f t="shared" si="4"/>
        <v>4.8464511091990091E-2</v>
      </c>
      <c r="D51" s="395">
        <v>9.8285534399999808</v>
      </c>
      <c r="E51" s="288">
        <f t="shared" si="5"/>
        <v>6.1128603171434724E-2</v>
      </c>
      <c r="F51" s="395">
        <v>10.082264439999985</v>
      </c>
      <c r="G51" s="288">
        <f>(F51/Table223729[[#Totals],[Column6]])*100</f>
        <v>6.995622266996071E-2</v>
      </c>
      <c r="H51" s="288">
        <f t="shared" si="2"/>
        <v>2.5813666431059756</v>
      </c>
      <c r="I51" s="287">
        <f t="shared" si="6"/>
        <v>20.194540860885258</v>
      </c>
      <c r="K51" s="289"/>
    </row>
    <row r="52" spans="1:11" ht="14.5" x14ac:dyDescent="0.35">
      <c r="A52" s="252" t="s">
        <v>253</v>
      </c>
      <c r="B52" s="395">
        <v>12.790961489999974</v>
      </c>
      <c r="C52" s="288">
        <f t="shared" si="4"/>
        <v>7.3901573620871255E-2</v>
      </c>
      <c r="D52" s="395">
        <v>22.093995379999907</v>
      </c>
      <c r="E52" s="288">
        <f t="shared" si="5"/>
        <v>0.1374134133064783</v>
      </c>
      <c r="F52" s="395">
        <v>9.8384856899999829</v>
      </c>
      <c r="G52" s="288">
        <f>(F52/Table223729[[#Totals],[Column6]])*100</f>
        <v>6.8264753395504266E-2</v>
      </c>
      <c r="H52" s="288" t="s">
        <v>240</v>
      </c>
      <c r="I52" s="287">
        <f t="shared" si="6"/>
        <v>-23.082516527848583</v>
      </c>
      <c r="K52" s="289"/>
    </row>
    <row r="53" spans="1:11" ht="14.5" x14ac:dyDescent="0.35">
      <c r="A53" s="252" t="s">
        <v>825</v>
      </c>
      <c r="B53" s="395">
        <v>3.7231642399999987</v>
      </c>
      <c r="C53" s="288">
        <f t="shared" si="4"/>
        <v>2.1511103477253581E-2</v>
      </c>
      <c r="D53" s="395">
        <v>3.8255085499999941</v>
      </c>
      <c r="E53" s="288">
        <f t="shared" si="5"/>
        <v>2.379271736267639E-2</v>
      </c>
      <c r="F53" s="395">
        <v>9.7756383599999772</v>
      </c>
      <c r="G53" s="288">
        <f>(F53/Table223729[[#Totals],[Column6]])*100</f>
        <v>6.7828684510596815E-2</v>
      </c>
      <c r="H53" s="288">
        <f t="shared" ref="H53:H59" si="7">((F53/D53)-1)*100</f>
        <v>155.53826980729119</v>
      </c>
      <c r="I53" s="287">
        <f t="shared" si="6"/>
        <v>162.56264107220747</v>
      </c>
      <c r="K53" s="289"/>
    </row>
    <row r="54" spans="1:11" ht="14.5" x14ac:dyDescent="0.35">
      <c r="A54" s="252" t="s">
        <v>817</v>
      </c>
      <c r="B54" s="395">
        <v>7.1983355799999948</v>
      </c>
      <c r="C54" s="288">
        <f t="shared" si="4"/>
        <v>4.1589393199956207E-2</v>
      </c>
      <c r="D54" s="395">
        <v>39.998383909999987</v>
      </c>
      <c r="E54" s="288">
        <f t="shared" si="5"/>
        <v>0.24876960302034984</v>
      </c>
      <c r="F54" s="395">
        <v>8.6146264299999942</v>
      </c>
      <c r="G54" s="288">
        <f>(F54/Table223729[[#Totals],[Column6]])*100</f>
        <v>5.977295361989228E-2</v>
      </c>
      <c r="H54" s="288">
        <f t="shared" si="7"/>
        <v>-78.462563764116851</v>
      </c>
      <c r="I54" s="287">
        <f t="shared" si="6"/>
        <v>19.675254567667722</v>
      </c>
      <c r="K54" s="289"/>
    </row>
    <row r="55" spans="1:11" ht="14.5" x14ac:dyDescent="0.35">
      <c r="A55" s="252" t="s">
        <v>264</v>
      </c>
      <c r="B55" s="395">
        <v>8.9532285599999923</v>
      </c>
      <c r="C55" s="288">
        <f t="shared" si="4"/>
        <v>5.172853347174982E-2</v>
      </c>
      <c r="D55" s="395">
        <v>13.339267419999993</v>
      </c>
      <c r="E55" s="288">
        <f t="shared" si="5"/>
        <v>8.2963458426780365E-2</v>
      </c>
      <c r="F55" s="395">
        <v>7.3297825599999795</v>
      </c>
      <c r="G55" s="288">
        <f>(F55/Table223729[[#Totals],[Column6]])*100</f>
        <v>5.0858009521693719E-2</v>
      </c>
      <c r="H55" s="288">
        <f t="shared" si="7"/>
        <v>-45.051086171267542</v>
      </c>
      <c r="I55" s="287" t="s">
        <v>240</v>
      </c>
      <c r="K55" s="289"/>
    </row>
    <row r="56" spans="1:11" ht="14.5" x14ac:dyDescent="0.35">
      <c r="A56" s="252" t="s">
        <v>820</v>
      </c>
      <c r="B56" s="395">
        <v>6.7058901199999879</v>
      </c>
      <c r="C56" s="288">
        <f t="shared" si="4"/>
        <v>3.8744220501648406E-2</v>
      </c>
      <c r="D56" s="395">
        <v>4.1392596499999925</v>
      </c>
      <c r="E56" s="288">
        <f t="shared" si="5"/>
        <v>2.5744089617361011E-2</v>
      </c>
      <c r="F56" s="395">
        <v>7.286079599999983</v>
      </c>
      <c r="G56" s="288">
        <f>(F56/Table223729[[#Totals],[Column6]])*100</f>
        <v>5.0554774666142145E-2</v>
      </c>
      <c r="H56" s="288">
        <f t="shared" si="7"/>
        <v>76.023738931187765</v>
      </c>
      <c r="I56" s="287">
        <f t="shared" si="6"/>
        <v>8.6519383648951944</v>
      </c>
      <c r="K56" s="289"/>
    </row>
    <row r="57" spans="1:11" ht="14.5" x14ac:dyDescent="0.35">
      <c r="A57" s="252" t="s">
        <v>273</v>
      </c>
      <c r="B57" s="395">
        <v>11.581022449999995</v>
      </c>
      <c r="C57" s="288">
        <f t="shared" si="4"/>
        <v>6.6910981153586388E-2</v>
      </c>
      <c r="D57" s="395">
        <v>8.215887119999989</v>
      </c>
      <c r="E57" s="288">
        <f t="shared" si="5"/>
        <v>5.1098638932544897E-2</v>
      </c>
      <c r="F57" s="395">
        <v>7.0573331299999973</v>
      </c>
      <c r="G57" s="288">
        <f>(F57/Table223729[[#Totals],[Column6]])*100</f>
        <v>4.8967607508851589E-2</v>
      </c>
      <c r="H57" s="288">
        <f t="shared" si="7"/>
        <v>-14.101386412426676</v>
      </c>
      <c r="I57" s="287">
        <f t="shared" si="6"/>
        <v>-39.061225721050221</v>
      </c>
      <c r="K57" s="289"/>
    </row>
    <row r="58" spans="1:11" ht="14.5" x14ac:dyDescent="0.35">
      <c r="A58" s="252" t="s">
        <v>833</v>
      </c>
      <c r="B58" s="395">
        <v>6.2452790099999964</v>
      </c>
      <c r="C58" s="288">
        <f t="shared" si="4"/>
        <v>3.6082975224436986E-2</v>
      </c>
      <c r="D58" s="395">
        <v>5.2410281899999891</v>
      </c>
      <c r="E58" s="288">
        <f t="shared" si="5"/>
        <v>3.2596529529254181E-2</v>
      </c>
      <c r="F58" s="395">
        <v>6.9969973099999985</v>
      </c>
      <c r="G58" s="288">
        <f>(F58/Table223729[[#Totals],[Column6]])*100</f>
        <v>4.8548964843405436E-2</v>
      </c>
      <c r="H58" s="288">
        <f t="shared" si="7"/>
        <v>33.5042868754349</v>
      </c>
      <c r="I58" s="287">
        <f t="shared" si="6"/>
        <v>12.036584735387223</v>
      </c>
      <c r="K58" s="289"/>
    </row>
    <row r="59" spans="1:11" ht="14.5" x14ac:dyDescent="0.35">
      <c r="A59" s="252" t="s">
        <v>828</v>
      </c>
      <c r="B59" s="395">
        <v>5.5564744399999926</v>
      </c>
      <c r="C59" s="288">
        <f t="shared" si="4"/>
        <v>3.2103310233650754E-2</v>
      </c>
      <c r="D59" s="395">
        <v>4.7445609599999949</v>
      </c>
      <c r="E59" s="288">
        <f t="shared" si="5"/>
        <v>2.9508755883258613E-2</v>
      </c>
      <c r="F59" s="395">
        <v>5.9568522299999813</v>
      </c>
      <c r="G59" s="288">
        <f>(F59/Table223729[[#Totals],[Column6]])*100</f>
        <v>4.133187375652006E-2</v>
      </c>
      <c r="H59" s="288">
        <f t="shared" si="7"/>
        <v>25.55117913375884</v>
      </c>
      <c r="I59" s="287">
        <f t="shared" si="6"/>
        <v>7.2056084181319369</v>
      </c>
      <c r="K59" s="289"/>
    </row>
    <row r="60" spans="1:11" ht="14.5" x14ac:dyDescent="0.35">
      <c r="A60" s="252" t="s">
        <v>896</v>
      </c>
      <c r="B60" s="395"/>
      <c r="C60" s="288">
        <f t="shared" si="4"/>
        <v>0</v>
      </c>
      <c r="D60" s="395"/>
      <c r="E60" s="288">
        <f t="shared" si="5"/>
        <v>0</v>
      </c>
      <c r="F60" s="395">
        <v>5.6398593399999895</v>
      </c>
      <c r="G60" s="288">
        <f>(F60/Table223729[[#Totals],[Column6]])*100</f>
        <v>3.9132405042958542E-2</v>
      </c>
      <c r="H60" s="288" t="s">
        <v>240</v>
      </c>
      <c r="I60" s="287" t="s">
        <v>240</v>
      </c>
      <c r="K60" s="289"/>
    </row>
    <row r="61" spans="1:11" ht="14.5" x14ac:dyDescent="0.35">
      <c r="A61" s="252" t="s">
        <v>832</v>
      </c>
      <c r="B61" s="395">
        <v>2.5068169199999986</v>
      </c>
      <c r="C61" s="288">
        <f t="shared" si="4"/>
        <v>1.4483486273667611E-2</v>
      </c>
      <c r="D61" s="395">
        <v>3.0350425299999979</v>
      </c>
      <c r="E61" s="288">
        <f t="shared" si="5"/>
        <v>1.8876420783321041E-2</v>
      </c>
      <c r="F61" s="395">
        <v>5.6188140999999963</v>
      </c>
      <c r="G61" s="288">
        <f>(F61/Table223729[[#Totals],[Column6]])*100</f>
        <v>3.8986381745876444E-2</v>
      </c>
      <c r="H61" s="288" t="s">
        <v>240</v>
      </c>
      <c r="I61" s="287">
        <f t="shared" si="6"/>
        <v>124.14138245085722</v>
      </c>
      <c r="K61" s="289"/>
    </row>
    <row r="62" spans="1:11" ht="14.5" x14ac:dyDescent="0.35">
      <c r="A62" s="252" t="s">
        <v>829</v>
      </c>
      <c r="B62" s="395">
        <v>1.1212533799999982</v>
      </c>
      <c r="C62" s="288">
        <f t="shared" si="4"/>
        <v>6.4781986306895502E-3</v>
      </c>
      <c r="D62" s="395">
        <v>8.8353778199999802</v>
      </c>
      <c r="E62" s="288">
        <f t="shared" si="5"/>
        <v>5.4951555986907874E-2</v>
      </c>
      <c r="F62" s="395">
        <v>4.4673176699999875</v>
      </c>
      <c r="G62" s="288">
        <f>(F62/Table223729[[#Totals],[Column6]])*100</f>
        <v>3.0996674558554791E-2</v>
      </c>
      <c r="H62" s="288">
        <f t="shared" ref="H62:H67" si="8">((F62/D62)-1)*100</f>
        <v>-49.438294988498889</v>
      </c>
      <c r="I62" s="287">
        <f t="shared" si="6"/>
        <v>298.42177956243881</v>
      </c>
      <c r="K62" s="289"/>
    </row>
    <row r="63" spans="1:11" ht="14.5" x14ac:dyDescent="0.35">
      <c r="A63" s="252" t="s">
        <v>822</v>
      </c>
      <c r="B63" s="395">
        <v>0.591815179999999</v>
      </c>
      <c r="C63" s="288">
        <f t="shared" si="4"/>
        <v>3.4192951897253493E-3</v>
      </c>
      <c r="D63" s="395">
        <v>2.2285304199999989</v>
      </c>
      <c r="E63" s="288">
        <f t="shared" si="5"/>
        <v>1.3860325685897778E-2</v>
      </c>
      <c r="F63" s="395">
        <v>4.3608265299999891</v>
      </c>
      <c r="G63" s="288">
        <f>(F63/Table223729[[#Totals],[Column6]])*100</f>
        <v>3.025778123289849E-2</v>
      </c>
      <c r="H63" s="288" t="s">
        <v>240</v>
      </c>
      <c r="I63" s="287" t="s">
        <v>240</v>
      </c>
      <c r="K63" s="289"/>
    </row>
    <row r="64" spans="1:11" ht="14.5" x14ac:dyDescent="0.35">
      <c r="A64" s="252" t="s">
        <v>824</v>
      </c>
      <c r="B64" s="395">
        <v>6.4319114899999921</v>
      </c>
      <c r="C64" s="288">
        <f t="shared" si="4"/>
        <v>3.7161270548173871E-2</v>
      </c>
      <c r="D64" s="395">
        <v>3.2895557999999889</v>
      </c>
      <c r="E64" s="288">
        <f t="shared" si="5"/>
        <v>2.045936386631594E-2</v>
      </c>
      <c r="F64" s="395">
        <v>3.7139029499999987</v>
      </c>
      <c r="G64" s="288">
        <f>(F64/Table223729[[#Totals],[Column6]])*100</f>
        <v>2.5769074327594631E-2</v>
      </c>
      <c r="H64" s="288">
        <f t="shared" si="8"/>
        <v>12.899831338930667</v>
      </c>
      <c r="I64" s="287" t="s">
        <v>240</v>
      </c>
      <c r="K64" s="289"/>
    </row>
    <row r="65" spans="1:11" ht="14.5" x14ac:dyDescent="0.35">
      <c r="A65" s="252" t="s">
        <v>261</v>
      </c>
      <c r="B65" s="395">
        <v>158.12181921000001</v>
      </c>
      <c r="C65" s="288">
        <f t="shared" si="4"/>
        <v>0.91357098311566687</v>
      </c>
      <c r="D65" s="395">
        <v>2.2782685999999974</v>
      </c>
      <c r="E65" s="288">
        <f t="shared" si="5"/>
        <v>1.4169671866518362E-2</v>
      </c>
      <c r="F65" s="395">
        <v>3.6102823299999991</v>
      </c>
      <c r="G65" s="288">
        <f>(F65/Table223729[[#Totals],[Column6]])*100</f>
        <v>2.5050098227626424E-2</v>
      </c>
      <c r="H65" s="288">
        <f t="shared" si="8"/>
        <v>58.466053124728276</v>
      </c>
      <c r="I65" s="287">
        <f t="shared" ref="I65:I93" si="9">((F65/B65)-1)*100</f>
        <v>-97.716771570149206</v>
      </c>
      <c r="K65" s="289"/>
    </row>
    <row r="66" spans="1:11" ht="14.5" x14ac:dyDescent="0.35">
      <c r="A66" s="252" t="s">
        <v>823</v>
      </c>
      <c r="B66" s="395">
        <v>2.4740371799999958</v>
      </c>
      <c r="C66" s="288">
        <f t="shared" si="4"/>
        <v>1.429409672927901E-2</v>
      </c>
      <c r="D66" s="395">
        <v>7.5801413899999881</v>
      </c>
      <c r="E66" s="288">
        <f t="shared" si="5"/>
        <v>4.7144623859589847E-2</v>
      </c>
      <c r="F66" s="395">
        <v>3.5538409999999949</v>
      </c>
      <c r="G66" s="288">
        <f>(F66/Table223729[[#Totals],[Column6]])*100</f>
        <v>2.4658477647471411E-2</v>
      </c>
      <c r="H66" s="288">
        <f t="shared" si="8"/>
        <v>-53.116428610575028</v>
      </c>
      <c r="I66" s="287">
        <f t="shared" si="9"/>
        <v>43.645416032106723</v>
      </c>
      <c r="K66" s="289"/>
    </row>
    <row r="67" spans="1:11" ht="14.5" x14ac:dyDescent="0.35">
      <c r="A67" s="252" t="s">
        <v>830</v>
      </c>
      <c r="B67" s="395">
        <v>0.13371831999999997</v>
      </c>
      <c r="C67" s="288">
        <f t="shared" si="4"/>
        <v>7.7257634444955555E-4</v>
      </c>
      <c r="D67" s="395">
        <v>9.947612999999976E-2</v>
      </c>
      <c r="E67" s="288">
        <f t="shared" si="5"/>
        <v>6.1869093075817385E-4</v>
      </c>
      <c r="F67" s="395">
        <v>3.2096083499999994</v>
      </c>
      <c r="G67" s="288">
        <f>(F67/Table223729[[#Totals],[Column6]])*100</f>
        <v>2.2270004695092636E-2</v>
      </c>
      <c r="H67" s="288">
        <f t="shared" si="8"/>
        <v>3126.511073561072</v>
      </c>
      <c r="I67" s="287">
        <f t="shared" si="9"/>
        <v>2300.2757064252678</v>
      </c>
      <c r="K67" s="289"/>
    </row>
    <row r="68" spans="1:11" ht="14.5" x14ac:dyDescent="0.35">
      <c r="A68" s="252" t="s">
        <v>899</v>
      </c>
      <c r="B68" s="395">
        <v>0.11078824999999999</v>
      </c>
      <c r="C68" s="288">
        <f t="shared" ref="C68:C99" si="10">(B68/$B$187)*100</f>
        <v>6.4009464965580996E-4</v>
      </c>
      <c r="D68" s="395">
        <v>7.0498050000000007E-2</v>
      </c>
      <c r="E68" s="288">
        <f t="shared" ref="E68:E99" si="11">(D68/$D$187)*100</f>
        <v>4.3846201265707046E-4</v>
      </c>
      <c r="F68" s="395">
        <v>3.1556107299999998</v>
      </c>
      <c r="G68" s="288">
        <f>(F68/Table223729[[#Totals],[Column6]])*100</f>
        <v>2.1895339901201561E-2</v>
      </c>
      <c r="H68" s="288" t="s">
        <v>240</v>
      </c>
      <c r="I68" s="287">
        <f t="shared" si="9"/>
        <v>2748.3261807998592</v>
      </c>
      <c r="K68" s="289"/>
    </row>
    <row r="69" spans="1:11" ht="14.5" x14ac:dyDescent="0.35">
      <c r="A69" s="252" t="s">
        <v>271</v>
      </c>
      <c r="B69" s="395">
        <v>5.0578645199999954</v>
      </c>
      <c r="C69" s="288">
        <f t="shared" si="10"/>
        <v>2.9222521503281699E-2</v>
      </c>
      <c r="D69" s="395">
        <v>4.7187664399999862</v>
      </c>
      <c r="E69" s="288">
        <f t="shared" si="11"/>
        <v>2.9348327089061797E-2</v>
      </c>
      <c r="F69" s="395">
        <v>3.0435472799999959</v>
      </c>
      <c r="G69" s="288">
        <f>(F69/Table223729[[#Totals],[Column6]])*100</f>
        <v>2.1117782864484489E-2</v>
      </c>
      <c r="H69" s="288">
        <f t="shared" ref="H69:H81" si="12">((F69/D69)-1)*100</f>
        <v>-35.501209506779382</v>
      </c>
      <c r="I69" s="287">
        <f t="shared" si="9"/>
        <v>-39.825448705375791</v>
      </c>
      <c r="K69" s="289"/>
    </row>
    <row r="70" spans="1:11" ht="14.5" x14ac:dyDescent="0.35">
      <c r="A70" s="252" t="s">
        <v>263</v>
      </c>
      <c r="B70" s="395">
        <v>84.130079129999785</v>
      </c>
      <c r="C70" s="288">
        <f t="shared" si="10"/>
        <v>0.48607332931274555</v>
      </c>
      <c r="D70" s="395">
        <v>8.0156774399999975</v>
      </c>
      <c r="E70" s="288">
        <f t="shared" si="11"/>
        <v>4.9853436558206538E-2</v>
      </c>
      <c r="F70" s="395">
        <v>2.9159661799999959</v>
      </c>
      <c r="G70" s="288">
        <f>(F70/Table223729[[#Totals],[Column6]])*100</f>
        <v>2.0232555950114989E-2</v>
      </c>
      <c r="H70" s="288">
        <f t="shared" si="12"/>
        <v>-63.621712552345457</v>
      </c>
      <c r="I70" s="287">
        <f t="shared" si="9"/>
        <v>-96.533979035614394</v>
      </c>
      <c r="K70" s="289"/>
    </row>
    <row r="71" spans="1:11" ht="14.5" x14ac:dyDescent="0.35">
      <c r="A71" s="252" t="s">
        <v>815</v>
      </c>
      <c r="B71" s="395">
        <v>3.5206464999999891</v>
      </c>
      <c r="C71" s="288">
        <f t="shared" si="10"/>
        <v>2.0341028836356259E-2</v>
      </c>
      <c r="D71" s="395">
        <v>2.6571136799999997</v>
      </c>
      <c r="E71" s="288">
        <f t="shared" si="11"/>
        <v>1.6525895567202704E-2</v>
      </c>
      <c r="F71" s="395">
        <v>2.9077808799999998</v>
      </c>
      <c r="G71" s="288">
        <f>(F71/Table223729[[#Totals],[Column6]])*100</f>
        <v>2.0175761896276411E-2</v>
      </c>
      <c r="H71" s="288">
        <f t="shared" si="12"/>
        <v>9.4338154173366107</v>
      </c>
      <c r="I71" s="287">
        <f t="shared" si="9"/>
        <v>-17.407757921733726</v>
      </c>
      <c r="K71" s="289"/>
    </row>
    <row r="72" spans="1:11" ht="14.5" x14ac:dyDescent="0.35">
      <c r="A72" s="252" t="s">
        <v>803</v>
      </c>
      <c r="B72" s="395"/>
      <c r="C72" s="288">
        <f t="shared" si="10"/>
        <v>0</v>
      </c>
      <c r="D72" s="395">
        <v>10.024757370000001</v>
      </c>
      <c r="E72" s="288">
        <f t="shared" si="11"/>
        <v>6.234889181827015E-2</v>
      </c>
      <c r="F72" s="395">
        <v>2.6597018899999898</v>
      </c>
      <c r="G72" s="288">
        <f>(F72/Table223729[[#Totals],[Column6]])*100</f>
        <v>1.8454455222814501E-2</v>
      </c>
      <c r="H72" s="288">
        <f t="shared" si="12"/>
        <v>-73.468665705971205</v>
      </c>
      <c r="I72" s="287" t="s">
        <v>240</v>
      </c>
      <c r="K72" s="289"/>
    </row>
    <row r="73" spans="1:11" ht="14.5" x14ac:dyDescent="0.35">
      <c r="A73" s="252" t="s">
        <v>844</v>
      </c>
      <c r="B73" s="395">
        <v>0.34659345999999991</v>
      </c>
      <c r="C73" s="288">
        <f t="shared" si="10"/>
        <v>2.0024923162130902E-3</v>
      </c>
      <c r="D73" s="395">
        <v>0.34924545999999956</v>
      </c>
      <c r="E73" s="288">
        <f t="shared" si="11"/>
        <v>2.17212911992522E-3</v>
      </c>
      <c r="F73" s="395">
        <v>2.1883620199999991</v>
      </c>
      <c r="G73" s="288">
        <f>(F73/Table223729[[#Totals],[Column6]])*100</f>
        <v>1.5184043392696928E-2</v>
      </c>
      <c r="H73" s="288">
        <f t="shared" si="12"/>
        <v>526.59712741863609</v>
      </c>
      <c r="I73" s="287">
        <f t="shared" si="9"/>
        <v>531.39160790858546</v>
      </c>
      <c r="K73" s="289"/>
    </row>
    <row r="74" spans="1:11" ht="14.5" x14ac:dyDescent="0.35">
      <c r="A74" s="252" t="s">
        <v>258</v>
      </c>
      <c r="B74" s="395">
        <v>9.1313009999999875E-2</v>
      </c>
      <c r="C74" s="288">
        <f t="shared" si="10"/>
        <v>5.2757371964055205E-4</v>
      </c>
      <c r="D74" s="395">
        <v>0.45662950999999968</v>
      </c>
      <c r="E74" s="288">
        <f t="shared" si="11"/>
        <v>2.8400032907748753E-3</v>
      </c>
      <c r="F74" s="395">
        <v>1.9715293899999997</v>
      </c>
      <c r="G74" s="288">
        <f>(F74/Table223729[[#Totals],[Column6]])*100</f>
        <v>1.3679540923369394E-2</v>
      </c>
      <c r="H74" s="288">
        <f t="shared" si="12"/>
        <v>331.7568941175092</v>
      </c>
      <c r="I74" s="287">
        <f t="shared" si="9"/>
        <v>2059.0892579272136</v>
      </c>
      <c r="K74" s="289"/>
    </row>
    <row r="75" spans="1:11" ht="14.5" x14ac:dyDescent="0.35">
      <c r="A75" s="252" t="s">
        <v>814</v>
      </c>
      <c r="B75" s="395">
        <v>9.197698369999987</v>
      </c>
      <c r="C75" s="288">
        <f t="shared" si="10"/>
        <v>5.3140992079800484E-2</v>
      </c>
      <c r="D75" s="395">
        <v>2.9165648699999984</v>
      </c>
      <c r="E75" s="288">
        <f t="shared" si="11"/>
        <v>1.813955000095898E-2</v>
      </c>
      <c r="F75" s="395">
        <v>1.8117612999999986</v>
      </c>
      <c r="G75" s="288">
        <f>(F75/Table223729[[#Totals],[Column6]])*100</f>
        <v>1.2570983203413934E-2</v>
      </c>
      <c r="H75" s="288">
        <f t="shared" si="12"/>
        <v>-37.880301630321711</v>
      </c>
      <c r="I75" s="287">
        <f t="shared" si="9"/>
        <v>-80.302014404936386</v>
      </c>
      <c r="K75" s="289"/>
    </row>
    <row r="76" spans="1:11" ht="14.5" x14ac:dyDescent="0.35">
      <c r="A76" s="252" t="s">
        <v>810</v>
      </c>
      <c r="B76" s="395">
        <v>176.27825937</v>
      </c>
      <c r="C76" s="288">
        <f t="shared" si="10"/>
        <v>1.0184723621266347</v>
      </c>
      <c r="D76" s="395">
        <v>3.3439435199999976</v>
      </c>
      <c r="E76" s="288">
        <f t="shared" si="11"/>
        <v>2.0797627820780394E-2</v>
      </c>
      <c r="F76" s="395">
        <v>1.5489074799999991</v>
      </c>
      <c r="G76" s="288">
        <f>(F76/Table223729[[#Totals],[Column6]])*100</f>
        <v>1.0747160740613129E-2</v>
      </c>
      <c r="H76" s="288">
        <f t="shared" si="12"/>
        <v>-53.680214072515199</v>
      </c>
      <c r="I76" s="287">
        <f t="shared" si="9"/>
        <v>-99.121328128871014</v>
      </c>
      <c r="K76" s="289"/>
    </row>
    <row r="77" spans="1:11" ht="14.5" x14ac:dyDescent="0.35">
      <c r="A77" s="252" t="s">
        <v>265</v>
      </c>
      <c r="B77" s="395">
        <v>1.84787707</v>
      </c>
      <c r="C77" s="288">
        <f t="shared" si="10"/>
        <v>1.0676368890461349E-2</v>
      </c>
      <c r="D77" s="395">
        <v>2.2039978499999977</v>
      </c>
      <c r="E77" s="288">
        <f t="shared" si="11"/>
        <v>1.3707745578818917E-2</v>
      </c>
      <c r="F77" s="395">
        <v>1.2939659199999982</v>
      </c>
      <c r="G77" s="288">
        <f>(F77/Table223729[[#Totals],[Column6]])*100</f>
        <v>8.9782378319428983E-3</v>
      </c>
      <c r="H77" s="288">
        <f t="shared" si="12"/>
        <v>-41.290055251188221</v>
      </c>
      <c r="I77" s="287">
        <f t="shared" si="9"/>
        <v>-29.97554106778335</v>
      </c>
      <c r="K77" s="289"/>
    </row>
    <row r="78" spans="1:11" ht="14.5" x14ac:dyDescent="0.35">
      <c r="A78" s="252" t="s">
        <v>252</v>
      </c>
      <c r="B78" s="395">
        <v>2.5919018699999965</v>
      </c>
      <c r="C78" s="288">
        <f t="shared" si="10"/>
        <v>1.4975076503328523E-2</v>
      </c>
      <c r="D78" s="395">
        <v>7.2434032699999964</v>
      </c>
      <c r="E78" s="288">
        <f t="shared" si="11"/>
        <v>4.505028403269315E-2</v>
      </c>
      <c r="F78" s="395">
        <v>1.0983630899999994</v>
      </c>
      <c r="G78" s="288">
        <f>(F78/Table223729[[#Totals],[Column6]])*100</f>
        <v>7.621039237144446E-3</v>
      </c>
      <c r="H78" s="288">
        <f t="shared" si="12"/>
        <v>-84.836366980296546</v>
      </c>
      <c r="I78" s="287">
        <f t="shared" si="9"/>
        <v>-57.623276455292618</v>
      </c>
      <c r="K78" s="289"/>
    </row>
    <row r="79" spans="1:11" ht="14.5" x14ac:dyDescent="0.35">
      <c r="A79" s="252" t="s">
        <v>270</v>
      </c>
      <c r="B79" s="395"/>
      <c r="C79" s="288">
        <f t="shared" si="10"/>
        <v>0</v>
      </c>
      <c r="D79" s="395">
        <v>0.59371862999999991</v>
      </c>
      <c r="E79" s="288">
        <f t="shared" si="11"/>
        <v>3.6926278877472273E-3</v>
      </c>
      <c r="F79" s="395">
        <v>1.0785405499999998</v>
      </c>
      <c r="G79" s="288">
        <f>(F79/Table223729[[#Totals],[Column6]])*100</f>
        <v>7.4834996962628766E-3</v>
      </c>
      <c r="H79" s="288">
        <f t="shared" si="12"/>
        <v>81.658532426378457</v>
      </c>
      <c r="I79" s="287" t="s">
        <v>240</v>
      </c>
      <c r="K79" s="289"/>
    </row>
    <row r="80" spans="1:11" ht="14.5" x14ac:dyDescent="0.35">
      <c r="A80" s="252" t="s">
        <v>841</v>
      </c>
      <c r="B80" s="395">
        <v>5.7742839999999997E-2</v>
      </c>
      <c r="C80" s="288">
        <f t="shared" si="10"/>
        <v>3.33617355088933E-4</v>
      </c>
      <c r="D80" s="395">
        <v>0.21904327999999987</v>
      </c>
      <c r="E80" s="288">
        <f t="shared" si="11"/>
        <v>1.362337786758728E-3</v>
      </c>
      <c r="F80" s="395">
        <v>1.0766570999999998</v>
      </c>
      <c r="G80" s="288">
        <f>(F80/Table223729[[#Totals],[Column6]])*100</f>
        <v>7.4704312979509847E-3</v>
      </c>
      <c r="H80" s="288">
        <f t="shared" si="12"/>
        <v>391.52710825002276</v>
      </c>
      <c r="I80" s="287">
        <f t="shared" si="9"/>
        <v>1764.5724734010307</v>
      </c>
      <c r="K80" s="289"/>
    </row>
    <row r="81" spans="1:11" ht="14.5" x14ac:dyDescent="0.35">
      <c r="A81" s="252" t="s">
        <v>883</v>
      </c>
      <c r="B81" s="395">
        <v>0.53473083999999893</v>
      </c>
      <c r="C81" s="288">
        <f t="shared" si="10"/>
        <v>3.0894824107245695E-3</v>
      </c>
      <c r="D81" s="395">
        <v>0.75440944999999859</v>
      </c>
      <c r="E81" s="288">
        <f t="shared" si="11"/>
        <v>4.6920430538789776E-3</v>
      </c>
      <c r="F81" s="395">
        <v>1.0518391499999993</v>
      </c>
      <c r="G81" s="288">
        <f>(F81/Table223729[[#Totals],[Column6]])*100</f>
        <v>7.2982308913117806E-3</v>
      </c>
      <c r="H81" s="288">
        <f t="shared" si="12"/>
        <v>39.425500303581984</v>
      </c>
      <c r="I81" s="287">
        <f t="shared" si="9"/>
        <v>96.704411138882776</v>
      </c>
      <c r="K81" s="289"/>
    </row>
    <row r="82" spans="1:11" ht="14.5" x14ac:dyDescent="0.35">
      <c r="A82" s="252" t="s">
        <v>856</v>
      </c>
      <c r="B82" s="395">
        <v>0.13089415999999995</v>
      </c>
      <c r="C82" s="288">
        <f t="shared" si="10"/>
        <v>7.5625936403175885E-4</v>
      </c>
      <c r="D82" s="395">
        <v>5.9679549999999998E-2</v>
      </c>
      <c r="E82" s="288">
        <f t="shared" si="11"/>
        <v>3.7117644541186974E-4</v>
      </c>
      <c r="F82" s="395">
        <v>0.98272471999999889</v>
      </c>
      <c r="G82" s="288">
        <f>(F82/Table223729[[#Totals],[Column6]])*100</f>
        <v>6.8186774652376422E-3</v>
      </c>
      <c r="H82" s="288" t="s">
        <v>240</v>
      </c>
      <c r="I82" s="287">
        <f t="shared" si="9"/>
        <v>650.77812486057383</v>
      </c>
      <c r="K82" s="289"/>
    </row>
    <row r="83" spans="1:11" ht="14.5" x14ac:dyDescent="0.35">
      <c r="A83" s="252" t="s">
        <v>837</v>
      </c>
      <c r="B83" s="395">
        <v>0.63612602999999868</v>
      </c>
      <c r="C83" s="288">
        <f t="shared" si="10"/>
        <v>3.6753073390886704E-3</v>
      </c>
      <c r="D83" s="395">
        <v>1.0870225599999987</v>
      </c>
      <c r="E83" s="288">
        <f t="shared" si="11"/>
        <v>6.7607274167333781E-3</v>
      </c>
      <c r="F83" s="395">
        <v>0.81700591999999983</v>
      </c>
      <c r="G83" s="288">
        <f>(F83/Table223729[[#Totals],[Column6]])*100</f>
        <v>5.6688304896510113E-3</v>
      </c>
      <c r="H83" s="288">
        <f t="shared" ref="H83:H98" si="13">((F83/D83)-1)*100</f>
        <v>-24.84002171951235</v>
      </c>
      <c r="I83" s="287">
        <f t="shared" si="9"/>
        <v>28.434599665730008</v>
      </c>
      <c r="K83" s="289"/>
    </row>
    <row r="84" spans="1:11" ht="14.5" x14ac:dyDescent="0.35">
      <c r="A84" s="252" t="s">
        <v>827</v>
      </c>
      <c r="B84" s="395">
        <v>1.7021378399999996</v>
      </c>
      <c r="C84" s="288">
        <f t="shared" si="10"/>
        <v>9.8343400528548529E-3</v>
      </c>
      <c r="D84" s="395">
        <v>7.637526669999998</v>
      </c>
      <c r="E84" s="288">
        <f t="shared" si="11"/>
        <v>4.7501531112566255E-2</v>
      </c>
      <c r="F84" s="395">
        <v>0.76478433999999984</v>
      </c>
      <c r="G84" s="288">
        <f>(F84/Table223729[[#Totals],[Column6]])*100</f>
        <v>5.3064888251967944E-3</v>
      </c>
      <c r="H84" s="288">
        <f t="shared" si="13"/>
        <v>-89.986492053716134</v>
      </c>
      <c r="I84" s="287">
        <f t="shared" si="9"/>
        <v>-55.069188756182051</v>
      </c>
      <c r="K84" s="289"/>
    </row>
    <row r="85" spans="1:11" ht="14.5" x14ac:dyDescent="0.35">
      <c r="A85" s="252" t="s">
        <v>804</v>
      </c>
      <c r="B85" s="395">
        <v>7.565231999999987E-2</v>
      </c>
      <c r="C85" s="288">
        <f t="shared" si="10"/>
        <v>4.3709188714551533E-4</v>
      </c>
      <c r="D85" s="395">
        <v>11.215350649999978</v>
      </c>
      <c r="E85" s="288">
        <f t="shared" si="11"/>
        <v>6.9753776432876835E-2</v>
      </c>
      <c r="F85" s="395">
        <v>0.65896772999999942</v>
      </c>
      <c r="G85" s="288">
        <f>(F85/Table223729[[#Totals],[Column6]])*100</f>
        <v>4.5722757547706798E-3</v>
      </c>
      <c r="H85" s="288">
        <f t="shared" si="13"/>
        <v>-94.124412596943628</v>
      </c>
      <c r="I85" s="287">
        <f t="shared" si="9"/>
        <v>771.04761625287972</v>
      </c>
      <c r="K85" s="289"/>
    </row>
    <row r="86" spans="1:11" ht="14.5" x14ac:dyDescent="0.35">
      <c r="A86" s="252" t="s">
        <v>849</v>
      </c>
      <c r="B86" s="395">
        <v>0.61173208999999995</v>
      </c>
      <c r="C86" s="288">
        <f t="shared" si="10"/>
        <v>3.5343679300987819E-3</v>
      </c>
      <c r="D86" s="395">
        <v>0.43633856999999954</v>
      </c>
      <c r="E86" s="288">
        <f t="shared" si="11"/>
        <v>2.713803964820414E-3</v>
      </c>
      <c r="F86" s="395">
        <v>0.58860939999999784</v>
      </c>
      <c r="G86" s="288">
        <f>(F86/Table223729[[#Totals],[Column6]])*100</f>
        <v>4.0840914753900153E-3</v>
      </c>
      <c r="H86" s="288">
        <f t="shared" si="13"/>
        <v>34.897403179370201</v>
      </c>
      <c r="I86" s="287">
        <f t="shared" si="9"/>
        <v>-3.7798720024646904</v>
      </c>
      <c r="K86" s="289"/>
    </row>
    <row r="87" spans="1:11" ht="14.5" x14ac:dyDescent="0.35">
      <c r="A87" s="252" t="s">
        <v>838</v>
      </c>
      <c r="B87" s="395">
        <v>0.38856034999999906</v>
      </c>
      <c r="C87" s="288">
        <f t="shared" si="10"/>
        <v>2.2449619079946501E-3</v>
      </c>
      <c r="D87" s="395">
        <v>0.52461736999999997</v>
      </c>
      <c r="E87" s="288">
        <f t="shared" si="11"/>
        <v>3.2628531984226364E-3</v>
      </c>
      <c r="F87" s="395">
        <v>0.44406162000000005</v>
      </c>
      <c r="G87" s="288">
        <f>(F87/Table223729[[#Totals],[Column6]])*100</f>
        <v>3.0811405267905795E-3</v>
      </c>
      <c r="H87" s="288">
        <f t="shared" si="13"/>
        <v>-15.355143502015556</v>
      </c>
      <c r="I87" s="287">
        <f t="shared" si="9"/>
        <v>14.283822320007978</v>
      </c>
      <c r="K87" s="289"/>
    </row>
    <row r="88" spans="1:11" ht="14.5" x14ac:dyDescent="0.35">
      <c r="A88" s="252" t="s">
        <v>840</v>
      </c>
      <c r="B88" s="395">
        <v>0.12175487999999995</v>
      </c>
      <c r="C88" s="288">
        <f t="shared" si="10"/>
        <v>7.0345589227634837E-4</v>
      </c>
      <c r="D88" s="395">
        <v>2.9736569999999889E-2</v>
      </c>
      <c r="E88" s="288">
        <f t="shared" si="11"/>
        <v>1.8494634010043982E-4</v>
      </c>
      <c r="F88" s="395">
        <v>0.41251234999999997</v>
      </c>
      <c r="G88" s="288">
        <f>(F88/Table223729[[#Totals],[Column6]])*100</f>
        <v>2.8622345686767975E-3</v>
      </c>
      <c r="H88" s="288">
        <f t="shared" si="13"/>
        <v>1287.2223662648432</v>
      </c>
      <c r="I88" s="287">
        <f t="shared" si="9"/>
        <v>238.805598592845</v>
      </c>
      <c r="K88" s="289"/>
    </row>
    <row r="89" spans="1:11" ht="14.5" x14ac:dyDescent="0.35">
      <c r="A89" s="252" t="s">
        <v>276</v>
      </c>
      <c r="B89" s="395">
        <v>0.88983939999999961</v>
      </c>
      <c r="C89" s="288">
        <f t="shared" si="10"/>
        <v>5.1411719112174426E-3</v>
      </c>
      <c r="D89" s="395">
        <v>0.13653897999999995</v>
      </c>
      <c r="E89" s="288">
        <f t="shared" si="11"/>
        <v>8.4920300599723622E-4</v>
      </c>
      <c r="F89" s="395">
        <v>0.38956413999999989</v>
      </c>
      <c r="G89" s="288">
        <f>(F89/Table223729[[#Totals],[Column6]])*100</f>
        <v>2.7030074329286074E-3</v>
      </c>
      <c r="H89" s="288" t="s">
        <v>240</v>
      </c>
      <c r="I89" s="287" t="s">
        <v>240</v>
      </c>
      <c r="K89" s="289"/>
    </row>
    <row r="90" spans="1:11" ht="14.5" x14ac:dyDescent="0.35">
      <c r="A90" s="252" t="s">
        <v>847</v>
      </c>
      <c r="B90" s="395">
        <v>1.952441999999999E-2</v>
      </c>
      <c r="C90" s="288">
        <f t="shared" si="10"/>
        <v>1.1280507436152193E-4</v>
      </c>
      <c r="D90" s="395">
        <v>6.80855E-3</v>
      </c>
      <c r="E90" s="288">
        <f t="shared" si="11"/>
        <v>4.2345717878385238E-5</v>
      </c>
      <c r="F90" s="395">
        <v>0.38389159</v>
      </c>
      <c r="G90" s="288">
        <f>(F90/Table223729[[#Totals],[Column6]])*100</f>
        <v>2.6636482023442449E-3</v>
      </c>
      <c r="H90" s="288">
        <f t="shared" si="13"/>
        <v>5538.3751312687718</v>
      </c>
      <c r="I90" s="287">
        <f t="shared" si="9"/>
        <v>1866.212517452504</v>
      </c>
      <c r="K90" s="289"/>
    </row>
    <row r="91" spans="1:11" ht="14.5" x14ac:dyDescent="0.35">
      <c r="A91" s="252" t="s">
        <v>884</v>
      </c>
      <c r="B91" s="395">
        <v>8.3236599999999897E-3</v>
      </c>
      <c r="C91" s="288">
        <f t="shared" si="10"/>
        <v>4.8091112835107263E-5</v>
      </c>
      <c r="D91" s="395">
        <v>0.39664064999999998</v>
      </c>
      <c r="E91" s="288">
        <f t="shared" si="11"/>
        <v>2.4669030944913881E-3</v>
      </c>
      <c r="F91" s="395">
        <v>0.36577714</v>
      </c>
      <c r="G91" s="288">
        <f>(F91/Table223729[[#Totals],[Column6]])*100</f>
        <v>2.5379603169207723E-3</v>
      </c>
      <c r="H91" s="288">
        <f t="shared" si="13"/>
        <v>-7.7812271636807706</v>
      </c>
      <c r="I91" s="287">
        <f t="shared" si="9"/>
        <v>4294.4267305488265</v>
      </c>
      <c r="K91" s="289"/>
    </row>
    <row r="92" spans="1:11" ht="14.5" x14ac:dyDescent="0.35">
      <c r="A92" s="252" t="s">
        <v>286</v>
      </c>
      <c r="B92" s="395">
        <v>9.4014883499999922</v>
      </c>
      <c r="C92" s="288">
        <f t="shared" si="10"/>
        <v>5.4318417265697611E-2</v>
      </c>
      <c r="D92" s="395">
        <v>569.60500112000022</v>
      </c>
      <c r="E92" s="288">
        <f t="shared" si="11"/>
        <v>3.5426533813432872</v>
      </c>
      <c r="F92" s="395">
        <v>0.3395216999999997</v>
      </c>
      <c r="G92" s="288">
        <f>(F92/Table223729[[#Totals],[Column6]])*100</f>
        <v>2.3557858244872237E-3</v>
      </c>
      <c r="H92" s="288">
        <f t="shared" si="13"/>
        <v>-99.940393483320477</v>
      </c>
      <c r="I92" s="287">
        <f t="shared" si="9"/>
        <v>-96.388638826532187</v>
      </c>
      <c r="K92" s="289"/>
    </row>
    <row r="93" spans="1:11" ht="14.5" x14ac:dyDescent="0.35">
      <c r="A93" s="252" t="s">
        <v>835</v>
      </c>
      <c r="B93" s="395">
        <v>1.1349339999999999E-2</v>
      </c>
      <c r="C93" s="288">
        <f t="shared" si="10"/>
        <v>6.5572403311043093E-5</v>
      </c>
      <c r="D93" s="395">
        <v>2.5105209999999979E-2</v>
      </c>
      <c r="E93" s="288">
        <f t="shared" si="11"/>
        <v>1.5614163660950054E-4</v>
      </c>
      <c r="F93" s="395">
        <v>0.32515326999999999</v>
      </c>
      <c r="G93" s="288">
        <f>(F93/Table223729[[#Totals],[Column6]])*100</f>
        <v>2.2560898589152546E-3</v>
      </c>
      <c r="H93" s="288">
        <f t="shared" si="13"/>
        <v>1195.1625180590015</v>
      </c>
      <c r="I93" s="287">
        <f t="shared" si="9"/>
        <v>2764.9531162164499</v>
      </c>
      <c r="K93" s="289"/>
    </row>
    <row r="94" spans="1:11" ht="14.5" x14ac:dyDescent="0.35">
      <c r="A94" s="252" t="s">
        <v>272</v>
      </c>
      <c r="B94" s="395">
        <v>2.1674135999999979</v>
      </c>
      <c r="C94" s="288">
        <f t="shared" si="10"/>
        <v>1.2522535999541796E-2</v>
      </c>
      <c r="D94" s="395">
        <v>0.57368230999999958</v>
      </c>
      <c r="E94" s="288">
        <f t="shared" si="11"/>
        <v>3.5680121686820724E-3</v>
      </c>
      <c r="F94" s="395">
        <v>0.32425086999999986</v>
      </c>
      <c r="G94" s="288">
        <f>(F94/Table223729[[#Totals],[Column6]])*100</f>
        <v>2.2498285179523131E-3</v>
      </c>
      <c r="H94" s="288">
        <f t="shared" si="13"/>
        <v>-43.47901890159379</v>
      </c>
      <c r="I94" s="287" t="s">
        <v>240</v>
      </c>
      <c r="K94" s="289"/>
    </row>
    <row r="95" spans="1:11" ht="14.5" x14ac:dyDescent="0.35">
      <c r="A95" s="252" t="s">
        <v>281</v>
      </c>
      <c r="B95" s="395">
        <v>4.1194776199999987</v>
      </c>
      <c r="C95" s="288">
        <f t="shared" si="10"/>
        <v>2.3800859603241759E-2</v>
      </c>
      <c r="D95" s="395">
        <v>1.1255012799999986</v>
      </c>
      <c r="E95" s="288">
        <f t="shared" si="11"/>
        <v>7.0000454832000077E-3</v>
      </c>
      <c r="F95" s="395">
        <v>0.31845204999999965</v>
      </c>
      <c r="G95" s="288">
        <f>(F95/Table223729[[#Totals],[Column6]])*100</f>
        <v>2.2095931575769573E-3</v>
      </c>
      <c r="H95" s="288">
        <f t="shared" si="13"/>
        <v>-71.705758522104929</v>
      </c>
      <c r="I95" s="287">
        <f>((F95/B95)-1)*100</f>
        <v>-92.269601163654343</v>
      </c>
      <c r="K95" s="289"/>
    </row>
    <row r="96" spans="1:11" ht="14.5" x14ac:dyDescent="0.35">
      <c r="A96" s="252" t="s">
        <v>805</v>
      </c>
      <c r="B96" s="395">
        <v>0.43645792999999888</v>
      </c>
      <c r="C96" s="288">
        <f t="shared" si="10"/>
        <v>2.5216968928821358E-3</v>
      </c>
      <c r="D96" s="395">
        <v>25.593601979999903</v>
      </c>
      <c r="E96" s="288">
        <f t="shared" si="11"/>
        <v>0.15917918630791544</v>
      </c>
      <c r="F96" s="395">
        <v>0.28597302999999979</v>
      </c>
      <c r="G96" s="288">
        <f>(F96/Table223729[[#Totals],[Column6]])*100</f>
        <v>1.984236089356467E-3</v>
      </c>
      <c r="H96" s="288">
        <f t="shared" si="13"/>
        <v>-98.88263859763282</v>
      </c>
      <c r="I96" s="287">
        <f>((F96/B96)-1)*100</f>
        <v>-34.478672434706247</v>
      </c>
      <c r="K96" s="289"/>
    </row>
    <row r="97" spans="1:11" ht="14.5" x14ac:dyDescent="0.35">
      <c r="A97" s="252" t="s">
        <v>850</v>
      </c>
      <c r="B97" s="395">
        <v>1.3681619299999992</v>
      </c>
      <c r="C97" s="288">
        <f t="shared" si="10"/>
        <v>7.904747401062534E-3</v>
      </c>
      <c r="D97" s="395">
        <v>0.16121138999999979</v>
      </c>
      <c r="E97" s="288">
        <f t="shared" si="11"/>
        <v>1.0026528467474464E-3</v>
      </c>
      <c r="F97" s="395">
        <v>0.27906093999999992</v>
      </c>
      <c r="G97" s="288">
        <f>(F97/Table223729[[#Totals],[Column6]])*100</f>
        <v>1.9362762575119057E-3</v>
      </c>
      <c r="H97" s="288">
        <f t="shared" si="13"/>
        <v>73.102496045720031</v>
      </c>
      <c r="I97" s="287">
        <f>((F97/B97)-1)*100</f>
        <v>-79.603222843658571</v>
      </c>
      <c r="K97" s="289"/>
    </row>
    <row r="98" spans="1:11" ht="14.5" x14ac:dyDescent="0.35">
      <c r="A98" s="252" t="s">
        <v>269</v>
      </c>
      <c r="B98" s="395">
        <v>0.6313677099999998</v>
      </c>
      <c r="C98" s="288">
        <f t="shared" si="10"/>
        <v>3.6478154780533218E-3</v>
      </c>
      <c r="D98" s="395">
        <v>0.13315134999999984</v>
      </c>
      <c r="E98" s="288">
        <f t="shared" si="11"/>
        <v>8.2813367049167932E-4</v>
      </c>
      <c r="F98" s="395">
        <v>0.26713175999999894</v>
      </c>
      <c r="G98" s="288">
        <f>(F98/Table223729[[#Totals],[Column6]])*100</f>
        <v>1.8535051323032407E-3</v>
      </c>
      <c r="H98" s="288">
        <f t="shared" si="13"/>
        <v>100.62264483236505</v>
      </c>
      <c r="I98" s="287" t="s">
        <v>240</v>
      </c>
      <c r="K98" s="289"/>
    </row>
    <row r="99" spans="1:11" ht="14.5" x14ac:dyDescent="0.35">
      <c r="A99" s="252" t="s">
        <v>280</v>
      </c>
      <c r="B99" s="395">
        <v>0.79307671999999896</v>
      </c>
      <c r="C99" s="288">
        <f t="shared" si="10"/>
        <v>4.5821119589719867E-3</v>
      </c>
      <c r="D99" s="395">
        <v>0.15688966000000004</v>
      </c>
      <c r="E99" s="288">
        <f t="shared" si="11"/>
        <v>9.7577388436536163E-4</v>
      </c>
      <c r="F99" s="395">
        <v>0.26132476999999887</v>
      </c>
      <c r="G99" s="288">
        <f>(F99/Table223729[[#Totals],[Column6]])*100</f>
        <v>1.8132130840337508E-3</v>
      </c>
      <c r="H99" s="288" t="s">
        <v>240</v>
      </c>
      <c r="I99" s="287">
        <f>((F99/B99)-1)*100</f>
        <v>-67.049244617847407</v>
      </c>
      <c r="K99" s="289"/>
    </row>
    <row r="100" spans="1:11" ht="14.5" x14ac:dyDescent="0.35">
      <c r="A100" s="252" t="s">
        <v>848</v>
      </c>
      <c r="B100" s="395">
        <v>0.54346039999999984</v>
      </c>
      <c r="C100" s="288">
        <f t="shared" ref="C100:C131" si="14">(B100/$B$187)*100</f>
        <v>3.1399186677270041E-3</v>
      </c>
      <c r="D100" s="395">
        <v>0.20219223999999994</v>
      </c>
      <c r="E100" s="288">
        <f t="shared" ref="E100:E131" si="15">(D100/$D$187)*100</f>
        <v>1.2575328891230521E-3</v>
      </c>
      <c r="F100" s="395">
        <v>0.23181844999999987</v>
      </c>
      <c r="G100" s="288">
        <f>(F100/Table223729[[#Totals],[Column6]])*100</f>
        <v>1.6084822217979008E-3</v>
      </c>
      <c r="H100" s="288">
        <f>((F100/D100)-1)*100</f>
        <v>14.652496060185062</v>
      </c>
      <c r="I100" s="287" t="s">
        <v>240</v>
      </c>
      <c r="K100" s="289"/>
    </row>
    <row r="101" spans="1:11" ht="14.5" x14ac:dyDescent="0.35">
      <c r="A101" s="252" t="s">
        <v>287</v>
      </c>
      <c r="B101" s="395">
        <v>0.23091644999999983</v>
      </c>
      <c r="C101" s="288">
        <f t="shared" si="14"/>
        <v>1.3341521701309774E-3</v>
      </c>
      <c r="D101" s="395">
        <v>0.23640276999999887</v>
      </c>
      <c r="E101" s="288">
        <f t="shared" si="15"/>
        <v>1.4703049847748413E-3</v>
      </c>
      <c r="F101" s="395">
        <v>0.2192575699999989</v>
      </c>
      <c r="G101" s="288">
        <f>(F101/Table223729[[#Totals],[Column6]])*100</f>
        <v>1.5213280191443228E-3</v>
      </c>
      <c r="H101" s="288">
        <f>((F101/D101)-1)*100</f>
        <v>-7.2525376923460172</v>
      </c>
      <c r="I101" s="287">
        <f>((F101/B101)-1)*100</f>
        <v>-5.0489603490790458</v>
      </c>
      <c r="K101" s="289"/>
    </row>
    <row r="102" spans="1:11" ht="14.5" x14ac:dyDescent="0.35">
      <c r="A102" s="252" t="s">
        <v>278</v>
      </c>
      <c r="B102" s="395">
        <v>0.95250317999999901</v>
      </c>
      <c r="C102" s="288">
        <f t="shared" si="14"/>
        <v>5.5032206871951156E-3</v>
      </c>
      <c r="D102" s="395">
        <v>2.9716400000000002E-3</v>
      </c>
      <c r="E102" s="288">
        <f t="shared" si="15"/>
        <v>1.8482089295977073E-5</v>
      </c>
      <c r="F102" s="395">
        <v>0.21068587999999988</v>
      </c>
      <c r="G102" s="288">
        <f>(F102/Table223729[[#Totals],[Column6]])*100</f>
        <v>1.4618529817788271E-3</v>
      </c>
      <c r="H102" s="288">
        <f>((F102/D102)-1)*100</f>
        <v>6989.8857196699428</v>
      </c>
      <c r="I102" s="287">
        <f>((F102/B102)-1)*100</f>
        <v>-77.880821353268331</v>
      </c>
      <c r="K102" s="289"/>
    </row>
    <row r="103" spans="1:11" ht="14.5" x14ac:dyDescent="0.35">
      <c r="A103" s="252" t="s">
        <v>796</v>
      </c>
      <c r="B103" s="395">
        <v>3.9387349999999995E-2</v>
      </c>
      <c r="C103" s="288">
        <f t="shared" si="14"/>
        <v>2.2756593771560394E-4</v>
      </c>
      <c r="D103" s="395">
        <v>0.24295028000000002</v>
      </c>
      <c r="E103" s="288">
        <f t="shared" si="15"/>
        <v>1.5110271666294145E-3</v>
      </c>
      <c r="F103" s="395">
        <v>0.20790103999999984</v>
      </c>
      <c r="G103" s="288">
        <f>(F103/Table223729[[#Totals],[Column6]])*100</f>
        <v>1.4425302504321559E-3</v>
      </c>
      <c r="H103" s="288" t="s">
        <v>240</v>
      </c>
      <c r="I103" s="287" t="s">
        <v>240</v>
      </c>
      <c r="K103" s="289"/>
    </row>
    <row r="104" spans="1:11" ht="14.5" x14ac:dyDescent="0.35">
      <c r="A104" s="252" t="s">
        <v>839</v>
      </c>
      <c r="B104" s="395">
        <v>5.1259899999999891E-3</v>
      </c>
      <c r="C104" s="288">
        <f t="shared" si="14"/>
        <v>2.9616126016876139E-5</v>
      </c>
      <c r="D104" s="395">
        <v>0.24251167999999962</v>
      </c>
      <c r="E104" s="288">
        <f t="shared" si="15"/>
        <v>1.5082992977202524E-3</v>
      </c>
      <c r="F104" s="395">
        <v>0.20514212999999967</v>
      </c>
      <c r="G104" s="288">
        <f>(F104/Table223729[[#Totals],[Column6]])*100</f>
        <v>1.4233874354985701E-3</v>
      </c>
      <c r="H104" s="288">
        <f>((F104/D104)-1)*100</f>
        <v>-15.409381519273635</v>
      </c>
      <c r="I104" s="287">
        <f>((F104/B104)-1)*100</f>
        <v>3902.0001989859543</v>
      </c>
      <c r="K104" s="289"/>
    </row>
    <row r="105" spans="1:11" ht="14.5" x14ac:dyDescent="0.35">
      <c r="A105" s="252" t="s">
        <v>885</v>
      </c>
      <c r="B105" s="395">
        <v>6.8964639999999897E-2</v>
      </c>
      <c r="C105" s="288">
        <f t="shared" si="14"/>
        <v>3.9845287816568089E-4</v>
      </c>
      <c r="D105" s="395">
        <v>0.145387819999999</v>
      </c>
      <c r="E105" s="288">
        <f t="shared" si="15"/>
        <v>9.0423828989629406E-4</v>
      </c>
      <c r="F105" s="395">
        <v>0.19925811000000002</v>
      </c>
      <c r="G105" s="288">
        <f>(F105/Table223729[[#Totals],[Column6]])*100</f>
        <v>1.3825609112823019E-3</v>
      </c>
      <c r="H105" s="288" t="s">
        <v>240</v>
      </c>
      <c r="I105" s="287">
        <f>((F105/B105)-1)*100</f>
        <v>188.92793466332938</v>
      </c>
      <c r="K105" s="289"/>
    </row>
    <row r="106" spans="1:11" ht="14.5" x14ac:dyDescent="0.35">
      <c r="A106" s="252" t="s">
        <v>282</v>
      </c>
      <c r="B106" s="395">
        <v>1.0861570000000001E-2</v>
      </c>
      <c r="C106" s="288">
        <f t="shared" si="14"/>
        <v>6.2754243738501647E-5</v>
      </c>
      <c r="D106" s="395">
        <v>6.6795009999999891E-2</v>
      </c>
      <c r="E106" s="288">
        <f t="shared" si="15"/>
        <v>4.1543098738261686E-4</v>
      </c>
      <c r="F106" s="395">
        <v>0.18320271999999985</v>
      </c>
      <c r="G106" s="288">
        <f>(F106/Table223729[[#Totals],[Column6]])*100</f>
        <v>1.2711599016601944E-3</v>
      </c>
      <c r="H106" s="288">
        <f>((F106/D106)-1)*100</f>
        <v>174.2760574480042</v>
      </c>
      <c r="I106" s="287">
        <f>((F106/B106)-1)*100</f>
        <v>1586.7056972426622</v>
      </c>
      <c r="K106" s="289"/>
    </row>
    <row r="107" spans="1:11" ht="14.5" x14ac:dyDescent="0.35">
      <c r="A107" s="252" t="s">
        <v>834</v>
      </c>
      <c r="B107" s="395">
        <v>0.15133710999999989</v>
      </c>
      <c r="C107" s="288">
        <f t="shared" si="14"/>
        <v>8.7437137426913682E-4</v>
      </c>
      <c r="D107" s="395">
        <v>2.0866033599999962</v>
      </c>
      <c r="E107" s="288">
        <f t="shared" si="15"/>
        <v>1.2977611562909951E-2</v>
      </c>
      <c r="F107" s="395">
        <v>0.1718783899999998</v>
      </c>
      <c r="G107" s="288">
        <f>(F107/Table223729[[#Totals],[Column6]])*100</f>
        <v>1.1925855540240475E-3</v>
      </c>
      <c r="H107" s="288">
        <f>((F107/D107)-1)*100</f>
        <v>-91.762766547064317</v>
      </c>
      <c r="I107" s="287">
        <f>((F107/B107)-1)*100</f>
        <v>13.57319430772792</v>
      </c>
      <c r="K107" s="289"/>
    </row>
    <row r="108" spans="1:11" ht="14.5" x14ac:dyDescent="0.35">
      <c r="A108" s="252" t="s">
        <v>836</v>
      </c>
      <c r="B108" s="395">
        <v>3.6607060000000004E-2</v>
      </c>
      <c r="C108" s="288">
        <f t="shared" si="14"/>
        <v>2.1150242237447757E-4</v>
      </c>
      <c r="D108" s="395">
        <v>5.5533479999999899E-2</v>
      </c>
      <c r="E108" s="288">
        <f t="shared" si="15"/>
        <v>3.4538999888154522E-4</v>
      </c>
      <c r="F108" s="395">
        <v>0.14708835999999997</v>
      </c>
      <c r="G108" s="288">
        <f>(F108/Table223729[[#Totals],[Column6]])*100</f>
        <v>1.0205788714979743E-3</v>
      </c>
      <c r="H108" s="288">
        <f>((F108/D108)-1)*100</f>
        <v>164.86429447605343</v>
      </c>
      <c r="I108" s="287">
        <f>((F108/B108)-1)*100</f>
        <v>301.80325871566839</v>
      </c>
      <c r="K108" s="289"/>
    </row>
    <row r="109" spans="1:11" ht="14.5" x14ac:dyDescent="0.35">
      <c r="A109" s="252" t="s">
        <v>842</v>
      </c>
      <c r="B109" s="395">
        <v>0.19051773999999991</v>
      </c>
      <c r="C109" s="288">
        <f t="shared" si="14"/>
        <v>1.1007429581974318E-3</v>
      </c>
      <c r="D109" s="395">
        <v>0.43065381999999996</v>
      </c>
      <c r="E109" s="288">
        <f t="shared" si="15"/>
        <v>2.6784477113289758E-3</v>
      </c>
      <c r="F109" s="395">
        <v>0.13947744000000001</v>
      </c>
      <c r="G109" s="288">
        <f>(F109/Table223729[[#Totals],[Column6]])*100</f>
        <v>9.6777017783478212E-4</v>
      </c>
      <c r="H109" s="288" t="s">
        <v>240</v>
      </c>
      <c r="I109" s="287" t="s">
        <v>240</v>
      </c>
      <c r="K109" s="289"/>
    </row>
    <row r="110" spans="1:11" ht="14.5" x14ac:dyDescent="0.35">
      <c r="A110" s="252" t="s">
        <v>798</v>
      </c>
      <c r="B110" s="395">
        <v>54.477583379999913</v>
      </c>
      <c r="C110" s="288">
        <f t="shared" si="14"/>
        <v>0.31475187709631858</v>
      </c>
      <c r="D110" s="395">
        <v>29.492390109999995</v>
      </c>
      <c r="E110" s="288">
        <f t="shared" si="15"/>
        <v>0.18342766538504363</v>
      </c>
      <c r="F110" s="395">
        <v>0.13731931</v>
      </c>
      <c r="G110" s="288">
        <f>(F110/Table223729[[#Totals],[Column6]])*100</f>
        <v>9.527959006047829E-4</v>
      </c>
      <c r="H110" s="288">
        <f>((F110/D110)-1)*100</f>
        <v>-99.534390703880462</v>
      </c>
      <c r="I110" s="287" t="s">
        <v>240</v>
      </c>
      <c r="K110" s="289"/>
    </row>
    <row r="111" spans="1:11" ht="14.5" x14ac:dyDescent="0.35">
      <c r="A111" s="252" t="s">
        <v>910</v>
      </c>
      <c r="B111" s="395">
        <v>5.4206249999999997E-2</v>
      </c>
      <c r="C111" s="288">
        <f t="shared" si="14"/>
        <v>3.1318421044564966E-4</v>
      </c>
      <c r="D111" s="395">
        <v>1.5990000000000001E-2</v>
      </c>
      <c r="E111" s="288">
        <f t="shared" si="15"/>
        <v>9.9449666797685266E-5</v>
      </c>
      <c r="F111" s="395">
        <v>0.12773670000000001</v>
      </c>
      <c r="G111" s="288">
        <f>(F111/Table223729[[#Totals],[Column6]])*100</f>
        <v>8.8630655161887277E-4</v>
      </c>
      <c r="H111" s="288">
        <f>((F111/D111)-1)*100</f>
        <v>698.85365853658539</v>
      </c>
      <c r="I111" s="287" t="s">
        <v>240</v>
      </c>
      <c r="K111" s="289"/>
    </row>
    <row r="112" spans="1:11" ht="14.5" x14ac:dyDescent="0.35">
      <c r="A112" s="252" t="s">
        <v>870</v>
      </c>
      <c r="B112" s="395">
        <v>4.0307619999999988E-2</v>
      </c>
      <c r="C112" s="288">
        <f t="shared" si="14"/>
        <v>2.3288292668545183E-4</v>
      </c>
      <c r="D112" s="395">
        <v>5.7897409999999996E-2</v>
      </c>
      <c r="E112" s="288">
        <f t="shared" si="15"/>
        <v>3.6009244108498875E-4</v>
      </c>
      <c r="F112" s="395">
        <v>0.12773286</v>
      </c>
      <c r="G112" s="288">
        <f>(F112/Table223729[[#Totals],[Column6]])*100</f>
        <v>8.8627990761477502E-4</v>
      </c>
      <c r="H112" s="288" t="s">
        <v>240</v>
      </c>
      <c r="I112" s="287" t="s">
        <v>240</v>
      </c>
      <c r="K112" s="289"/>
    </row>
    <row r="113" spans="1:11" ht="14.5" x14ac:dyDescent="0.35">
      <c r="A113" s="252" t="s">
        <v>901</v>
      </c>
      <c r="B113" s="395">
        <v>7.492623999999988E-2</v>
      </c>
      <c r="C113" s="288">
        <f t="shared" si="14"/>
        <v>4.3289685813095751E-4</v>
      </c>
      <c r="D113" s="395"/>
      <c r="E113" s="288">
        <f t="shared" si="15"/>
        <v>0</v>
      </c>
      <c r="F113" s="395">
        <v>0.10062952</v>
      </c>
      <c r="G113" s="288">
        <f>(F113/Table223729[[#Totals],[Column6]])*100</f>
        <v>6.9822222479727744E-4</v>
      </c>
      <c r="H113" s="288" t="s">
        <v>240</v>
      </c>
      <c r="I113" s="287" t="s">
        <v>240</v>
      </c>
      <c r="K113" s="289"/>
    </row>
    <row r="114" spans="1:11" ht="14.5" x14ac:dyDescent="0.35">
      <c r="A114" s="252" t="s">
        <v>846</v>
      </c>
      <c r="B114" s="395">
        <v>6.4916109999999999E-2</v>
      </c>
      <c r="C114" s="288">
        <f t="shared" si="14"/>
        <v>3.750619283856187E-4</v>
      </c>
      <c r="D114" s="395">
        <v>4.78253842999999</v>
      </c>
      <c r="E114" s="288">
        <f t="shared" si="15"/>
        <v>2.9744956429682539E-2</v>
      </c>
      <c r="F114" s="395">
        <v>9.8611569999999982E-2</v>
      </c>
      <c r="G114" s="288">
        <f>(F114/Table223729[[#Totals],[Column6]])*100</f>
        <v>6.8422059248769587E-4</v>
      </c>
      <c r="H114" s="288" t="s">
        <v>240</v>
      </c>
      <c r="I114" s="287" t="s">
        <v>240</v>
      </c>
      <c r="K114" s="289"/>
    </row>
    <row r="115" spans="1:11" ht="14.5" x14ac:dyDescent="0.35">
      <c r="A115" s="252" t="s">
        <v>853</v>
      </c>
      <c r="B115" s="395">
        <v>2.9900429999999999E-2</v>
      </c>
      <c r="C115" s="288">
        <f t="shared" si="14"/>
        <v>1.727539271123794E-4</v>
      </c>
      <c r="D115" s="395">
        <v>4.3592379999999903E-2</v>
      </c>
      <c r="E115" s="288">
        <f t="shared" si="15"/>
        <v>2.7112243063902872E-4</v>
      </c>
      <c r="F115" s="395">
        <v>9.1842800000000002E-2</v>
      </c>
      <c r="G115" s="288">
        <f>(F115/Table223729[[#Totals],[Column6]])*100</f>
        <v>6.3725519258773556E-4</v>
      </c>
      <c r="H115" s="288" t="s">
        <v>240</v>
      </c>
      <c r="I115" s="287" t="s">
        <v>240</v>
      </c>
      <c r="K115" s="289"/>
    </row>
    <row r="116" spans="1:11" ht="14.5" x14ac:dyDescent="0.35">
      <c r="A116" s="252" t="s">
        <v>907</v>
      </c>
      <c r="B116" s="395">
        <v>9.4538499999999998E-3</v>
      </c>
      <c r="C116" s="288">
        <f t="shared" si="14"/>
        <v>5.4620944040984304E-5</v>
      </c>
      <c r="D116" s="395">
        <v>5.0791309999999902E-2</v>
      </c>
      <c r="E116" s="288">
        <f t="shared" si="15"/>
        <v>3.158961135533414E-4</v>
      </c>
      <c r="F116" s="395">
        <v>8.9503060000000009E-2</v>
      </c>
      <c r="G116" s="288">
        <f>(F116/Table223729[[#Totals],[Column6]])*100</f>
        <v>6.2102080661185913E-4</v>
      </c>
      <c r="H116" s="288">
        <f>((F116/D116)-1)*100</f>
        <v>76.217270237763472</v>
      </c>
      <c r="I116" s="287" t="s">
        <v>240</v>
      </c>
      <c r="K116" s="289"/>
    </row>
    <row r="117" spans="1:11" ht="14.5" x14ac:dyDescent="0.35">
      <c r="A117" s="252" t="s">
        <v>843</v>
      </c>
      <c r="B117" s="395">
        <v>5.5999999999999995E-4</v>
      </c>
      <c r="C117" s="288">
        <f t="shared" si="14"/>
        <v>3.2354785259921836E-6</v>
      </c>
      <c r="D117" s="395">
        <v>2.172926E-2</v>
      </c>
      <c r="E117" s="288">
        <f t="shared" si="15"/>
        <v>1.3514494476299377E-4</v>
      </c>
      <c r="F117" s="395">
        <v>8.5388559999999891E-2</v>
      </c>
      <c r="G117" s="288">
        <f>(F117/Table223729[[#Totals],[Column6]])*100</f>
        <v>5.9247217253382233E-4</v>
      </c>
      <c r="H117" s="288">
        <f>((F117/D117)-1)*100</f>
        <v>292.96579819101015</v>
      </c>
      <c r="I117" s="287">
        <f>((F117/B117)-1)*100</f>
        <v>15147.957142857123</v>
      </c>
      <c r="K117" s="289"/>
    </row>
    <row r="118" spans="1:11" ht="14.5" x14ac:dyDescent="0.35">
      <c r="A118" s="252" t="s">
        <v>862</v>
      </c>
      <c r="B118" s="395">
        <v>1.873668999999999E-2</v>
      </c>
      <c r="C118" s="288">
        <f t="shared" si="14"/>
        <v>1.0825385382709369E-4</v>
      </c>
      <c r="D118" s="395">
        <v>0.59273326000000004</v>
      </c>
      <c r="E118" s="288">
        <f t="shared" si="15"/>
        <v>3.6864993875488274E-3</v>
      </c>
      <c r="F118" s="395">
        <v>8.5180699999999998E-2</v>
      </c>
      <c r="G118" s="288">
        <f>(F118/Table223729[[#Totals],[Column6]])*100</f>
        <v>5.9102992704118478E-4</v>
      </c>
      <c r="H118" s="288" t="s">
        <v>240</v>
      </c>
      <c r="I118" s="287">
        <f>((F118/B118)-1)*100</f>
        <v>354.61978609882561</v>
      </c>
      <c r="K118" s="289"/>
    </row>
    <row r="119" spans="1:11" ht="14.5" x14ac:dyDescent="0.35">
      <c r="A119" s="252" t="s">
        <v>857</v>
      </c>
      <c r="B119" s="395">
        <v>3.9984099999999896E-3</v>
      </c>
      <c r="C119" s="288">
        <f t="shared" si="14"/>
        <v>2.3101374451986384E-5</v>
      </c>
      <c r="D119" s="395">
        <v>2.19206E-3</v>
      </c>
      <c r="E119" s="288">
        <f t="shared" si="15"/>
        <v>1.3633498223923323E-5</v>
      </c>
      <c r="F119" s="395">
        <v>7.3239129999999888E-2</v>
      </c>
      <c r="G119" s="288">
        <f>(F119/Table223729[[#Totals],[Column6]])*100</f>
        <v>5.0817283328805443E-4</v>
      </c>
      <c r="H119" s="288" t="s">
        <v>240</v>
      </c>
      <c r="I119" s="287">
        <f>((F119/B119)-1)*100</f>
        <v>1731.7063532754289</v>
      </c>
      <c r="K119" s="289"/>
    </row>
    <row r="120" spans="1:11" ht="14.5" x14ac:dyDescent="0.35">
      <c r="A120" s="252" t="s">
        <v>869</v>
      </c>
      <c r="B120" s="395">
        <v>6.9502229999999998E-2</v>
      </c>
      <c r="C120" s="288">
        <f t="shared" si="14"/>
        <v>4.015588797742317E-4</v>
      </c>
      <c r="D120" s="395">
        <v>0.18945318999999988</v>
      </c>
      <c r="E120" s="288">
        <f t="shared" si="15"/>
        <v>1.1783024777522542E-3</v>
      </c>
      <c r="F120" s="395">
        <v>7.1167459999999905E-2</v>
      </c>
      <c r="G120" s="288">
        <f>(F120/Table223729[[#Totals],[Column6]])*100</f>
        <v>4.9379846246281592E-4</v>
      </c>
      <c r="H120" s="288">
        <f>((F120/D120)-1)*100</f>
        <v>-62.435332970640431</v>
      </c>
      <c r="I120" s="287">
        <f>((F120/B120)-1)*100</f>
        <v>2.3959375116451742</v>
      </c>
      <c r="K120" s="289"/>
    </row>
    <row r="121" spans="1:11" ht="14.5" x14ac:dyDescent="0.35">
      <c r="A121" s="252" t="s">
        <v>863</v>
      </c>
      <c r="B121" s="395"/>
      <c r="C121" s="288">
        <f t="shared" si="14"/>
        <v>0</v>
      </c>
      <c r="D121" s="395"/>
      <c r="E121" s="288">
        <f t="shared" si="15"/>
        <v>0</v>
      </c>
      <c r="F121" s="395">
        <v>6.7631990000000003E-2</v>
      </c>
      <c r="G121" s="288">
        <f>(F121/Table223729[[#Totals],[Column6]])*100</f>
        <v>4.6926745278390693E-4</v>
      </c>
      <c r="H121" s="288" t="s">
        <v>240</v>
      </c>
      <c r="I121" s="287" t="s">
        <v>240</v>
      </c>
      <c r="K121" s="289"/>
    </row>
    <row r="122" spans="1:11" ht="14.5" x14ac:dyDescent="0.35">
      <c r="A122" s="252" t="s">
        <v>861</v>
      </c>
      <c r="B122" s="395">
        <v>5.4435089999999901E-2</v>
      </c>
      <c r="C122" s="288">
        <f t="shared" si="14"/>
        <v>3.1450636563473493E-4</v>
      </c>
      <c r="D122" s="395"/>
      <c r="E122" s="288">
        <f t="shared" si="15"/>
        <v>0</v>
      </c>
      <c r="F122" s="395">
        <v>6.2823939999999884E-2</v>
      </c>
      <c r="G122" s="288">
        <f>(F122/Table223729[[#Totals],[Column6]])*100</f>
        <v>4.3590659239287424E-4</v>
      </c>
      <c r="H122" s="288" t="s">
        <v>240</v>
      </c>
      <c r="I122" s="287" t="s">
        <v>240</v>
      </c>
      <c r="K122" s="289"/>
    </row>
    <row r="123" spans="1:11" ht="14.5" x14ac:dyDescent="0.35">
      <c r="A123" s="252" t="s">
        <v>873</v>
      </c>
      <c r="B123" s="395"/>
      <c r="C123" s="288">
        <f t="shared" si="14"/>
        <v>0</v>
      </c>
      <c r="D123" s="395">
        <v>8.0666599999999894E-3</v>
      </c>
      <c r="E123" s="288">
        <f t="shared" si="15"/>
        <v>5.0170522149481844E-5</v>
      </c>
      <c r="F123" s="395">
        <v>6.2308429999999998E-2</v>
      </c>
      <c r="G123" s="288">
        <f>(F123/Table223729[[#Totals],[Column6]])*100</f>
        <v>4.3232970422819688E-4</v>
      </c>
      <c r="H123" s="288" t="s">
        <v>240</v>
      </c>
      <c r="I123" s="287" t="s">
        <v>240</v>
      </c>
      <c r="K123" s="289"/>
    </row>
    <row r="124" spans="1:11" ht="14.5" x14ac:dyDescent="0.35">
      <c r="A124" s="252" t="s">
        <v>821</v>
      </c>
      <c r="B124" s="395">
        <v>0.85268599999999994</v>
      </c>
      <c r="C124" s="288">
        <f t="shared" si="14"/>
        <v>4.9265129328824485E-3</v>
      </c>
      <c r="D124" s="395">
        <v>3.9391830800000007</v>
      </c>
      <c r="E124" s="288">
        <f t="shared" si="15"/>
        <v>2.4499715119517172E-2</v>
      </c>
      <c r="F124" s="395">
        <v>6.0030169999999897E-2</v>
      </c>
      <c r="G124" s="288">
        <f>(F124/Table223729[[#Totals],[Column6]])*100</f>
        <v>4.1652189985959097E-4</v>
      </c>
      <c r="H124" s="288">
        <f>((F124/D124)-1)*100</f>
        <v>-98.476075653736814</v>
      </c>
      <c r="I124" s="287" t="s">
        <v>240</v>
      </c>
      <c r="K124" s="289"/>
    </row>
    <row r="125" spans="1:11" ht="14.5" x14ac:dyDescent="0.35">
      <c r="A125" s="252" t="s">
        <v>336</v>
      </c>
      <c r="B125" s="395"/>
      <c r="C125" s="288">
        <f t="shared" si="14"/>
        <v>0</v>
      </c>
      <c r="D125" s="395">
        <v>5.6785440000000006E-2</v>
      </c>
      <c r="E125" s="288">
        <f t="shared" si="15"/>
        <v>3.5317655328079728E-4</v>
      </c>
      <c r="F125" s="395">
        <v>4.3949169999999899E-2</v>
      </c>
      <c r="G125" s="288">
        <f>(F125/Table223729[[#Totals],[Column6]])*100</f>
        <v>3.0494319415807299E-4</v>
      </c>
      <c r="H125" s="288" t="s">
        <v>240</v>
      </c>
      <c r="I125" s="287" t="s">
        <v>240</v>
      </c>
      <c r="K125" s="289"/>
    </row>
    <row r="126" spans="1:11" ht="14.5" x14ac:dyDescent="0.35">
      <c r="A126" s="252" t="s">
        <v>851</v>
      </c>
      <c r="B126" s="395">
        <v>7.2500149999999985E-2</v>
      </c>
      <c r="C126" s="288">
        <f t="shared" si="14"/>
        <v>4.1887978295752177E-4</v>
      </c>
      <c r="D126" s="395">
        <v>0.46077997999999987</v>
      </c>
      <c r="E126" s="288">
        <f t="shared" si="15"/>
        <v>2.8658171030671712E-3</v>
      </c>
      <c r="F126" s="395">
        <v>4.1123879999999891E-2</v>
      </c>
      <c r="G126" s="288">
        <f>(F126/Table223729[[#Totals],[Column6]])*100</f>
        <v>2.8533979875782156E-4</v>
      </c>
      <c r="H126" s="288" t="s">
        <v>240</v>
      </c>
      <c r="I126" s="287" t="s">
        <v>240</v>
      </c>
      <c r="K126" s="289"/>
    </row>
    <row r="127" spans="1:11" ht="14.5" x14ac:dyDescent="0.35">
      <c r="A127" s="252" t="s">
        <v>898</v>
      </c>
      <c r="B127" s="395">
        <v>6.7697999999999999E-4</v>
      </c>
      <c r="C127" s="288">
        <f t="shared" si="14"/>
        <v>3.911346879511051E-6</v>
      </c>
      <c r="D127" s="395"/>
      <c r="E127" s="288">
        <f t="shared" si="15"/>
        <v>0</v>
      </c>
      <c r="F127" s="395">
        <v>3.3743459999999899E-2</v>
      </c>
      <c r="G127" s="288">
        <f>(F127/Table223729[[#Totals],[Column6]])*100</f>
        <v>2.3413043919475981E-4</v>
      </c>
      <c r="H127" s="288" t="s">
        <v>240</v>
      </c>
      <c r="I127" s="287">
        <f>((F127/B127)-1)*100</f>
        <v>4884.4101745989392</v>
      </c>
      <c r="K127" s="289"/>
    </row>
    <row r="128" spans="1:11" s="3" customFormat="1" ht="14.5" x14ac:dyDescent="0.35">
      <c r="A128" s="252" t="s">
        <v>880</v>
      </c>
      <c r="B128" s="395">
        <v>2.1146799999999899E-3</v>
      </c>
      <c r="C128" s="288">
        <f t="shared" si="14"/>
        <v>1.2217860230973426E-5</v>
      </c>
      <c r="D128" s="395">
        <v>2.0776919999999994E-2</v>
      </c>
      <c r="E128" s="288">
        <f t="shared" si="15"/>
        <v>1.2922187436411272E-4</v>
      </c>
      <c r="F128" s="395">
        <v>3.1973129999999898E-2</v>
      </c>
      <c r="G128" s="288">
        <f>(F128/Table223729[[#Totals],[Column6]])*100</f>
        <v>2.2184692883691091E-4</v>
      </c>
      <c r="H128" s="288">
        <f>((F128/D128)-1)*100</f>
        <v>53.887727343609669</v>
      </c>
      <c r="I128" s="287">
        <f>((F128/B128)-1)*100</f>
        <v>1411.9606749011696</v>
      </c>
      <c r="K128" s="289"/>
    </row>
    <row r="129" spans="1:11" ht="14.5" x14ac:dyDescent="0.35">
      <c r="A129" s="252" t="s">
        <v>962</v>
      </c>
      <c r="B129" s="395"/>
      <c r="C129" s="288">
        <f t="shared" si="14"/>
        <v>0</v>
      </c>
      <c r="D129" s="395"/>
      <c r="E129" s="288">
        <f t="shared" si="15"/>
        <v>0</v>
      </c>
      <c r="F129" s="395">
        <v>2.9690959999999902E-2</v>
      </c>
      <c r="G129" s="288">
        <f>(F129/Table223729[[#Totals],[Column6]])*100</f>
        <v>2.0601199476621672E-4</v>
      </c>
      <c r="H129" s="288" t="s">
        <v>240</v>
      </c>
      <c r="I129" s="287" t="s">
        <v>240</v>
      </c>
      <c r="K129" s="290"/>
    </row>
    <row r="130" spans="1:11" ht="14.5" x14ac:dyDescent="0.35">
      <c r="A130" s="252" t="s">
        <v>961</v>
      </c>
      <c r="B130" s="395"/>
      <c r="C130" s="288">
        <f t="shared" si="14"/>
        <v>0</v>
      </c>
      <c r="D130" s="395"/>
      <c r="E130" s="288">
        <f t="shared" si="15"/>
        <v>0</v>
      </c>
      <c r="F130" s="395">
        <v>2.8055029999999991E-2</v>
      </c>
      <c r="G130" s="288">
        <f>(F130/Table223729[[#Totals],[Column6]])*100</f>
        <v>1.9466102455178514E-4</v>
      </c>
      <c r="H130" s="288" t="s">
        <v>240</v>
      </c>
      <c r="I130" s="287" t="s">
        <v>240</v>
      </c>
      <c r="K130" s="289"/>
    </row>
    <row r="131" spans="1:11" ht="14.5" x14ac:dyDescent="0.35">
      <c r="A131" s="252" t="s">
        <v>860</v>
      </c>
      <c r="B131" s="395">
        <v>9.9263899999999898E-3</v>
      </c>
      <c r="C131" s="288">
        <f t="shared" si="14"/>
        <v>5.7351110152899145E-5</v>
      </c>
      <c r="D131" s="395">
        <v>1.0829149999999999E-2</v>
      </c>
      <c r="E131" s="288">
        <f t="shared" si="15"/>
        <v>6.7351804828152175E-5</v>
      </c>
      <c r="F131" s="395">
        <v>2.5916790000000002E-2</v>
      </c>
      <c r="G131" s="288">
        <f>(F131/Table223729[[#Totals],[Column6]])*100</f>
        <v>1.7982475493676044E-4</v>
      </c>
      <c r="H131" s="288" t="s">
        <v>240</v>
      </c>
      <c r="I131" s="287" t="s">
        <v>240</v>
      </c>
      <c r="K131" s="289"/>
    </row>
    <row r="132" spans="1:11" ht="14.5" x14ac:dyDescent="0.35">
      <c r="A132" s="252" t="s">
        <v>875</v>
      </c>
      <c r="B132" s="395">
        <v>1.3621250000000001E-2</v>
      </c>
      <c r="C132" s="288">
        <f t="shared" ref="C132:C163" si="16">(B132/$B$187)*100</f>
        <v>7.8698681914591144E-5</v>
      </c>
      <c r="D132" s="395"/>
      <c r="E132" s="288">
        <f t="shared" ref="E132:E163" si="17">(D132/$D$187)*100</f>
        <v>0</v>
      </c>
      <c r="F132" s="395">
        <v>2.46876199999999E-2</v>
      </c>
      <c r="G132" s="288">
        <f>(F132/Table223729[[#Totals],[Column6]])*100</f>
        <v>1.7129610636470977E-4</v>
      </c>
      <c r="H132" s="288" t="s">
        <v>240</v>
      </c>
      <c r="I132" s="287" t="s">
        <v>240</v>
      </c>
      <c r="K132" s="289"/>
    </row>
    <row r="133" spans="1:11" ht="14.5" x14ac:dyDescent="0.35">
      <c r="A133" s="252" t="s">
        <v>948</v>
      </c>
      <c r="B133" s="395"/>
      <c r="C133" s="288">
        <f t="shared" si="16"/>
        <v>0</v>
      </c>
      <c r="D133" s="395"/>
      <c r="E133" s="288">
        <f t="shared" si="17"/>
        <v>0</v>
      </c>
      <c r="F133" s="395">
        <v>2.4390999999999999E-2</v>
      </c>
      <c r="G133" s="288">
        <f>(F133/Table223729[[#Totals],[Column6]])*100</f>
        <v>1.6923799581902401E-4</v>
      </c>
      <c r="H133" s="288" t="s">
        <v>240</v>
      </c>
      <c r="I133" s="287" t="s">
        <v>240</v>
      </c>
      <c r="K133" s="289"/>
    </row>
    <row r="134" spans="1:11" ht="14.5" x14ac:dyDescent="0.35">
      <c r="A134" s="252" t="s">
        <v>858</v>
      </c>
      <c r="B134" s="395"/>
      <c r="C134" s="288">
        <f t="shared" si="16"/>
        <v>0</v>
      </c>
      <c r="D134" s="395">
        <v>5.6909399999999909E-2</v>
      </c>
      <c r="E134" s="288">
        <f t="shared" si="17"/>
        <v>3.5394752142940466E-4</v>
      </c>
      <c r="F134" s="395">
        <v>2.3654089999999999E-2</v>
      </c>
      <c r="G134" s="288">
        <f>(F134/Table223729[[#Totals],[Column6]])*100</f>
        <v>1.6412491429309241E-4</v>
      </c>
      <c r="H134" s="288" t="s">
        <v>240</v>
      </c>
      <c r="I134" s="287" t="s">
        <v>240</v>
      </c>
      <c r="K134" s="289"/>
    </row>
    <row r="135" spans="1:11" ht="14.5" x14ac:dyDescent="0.35">
      <c r="A135" s="252" t="s">
        <v>855</v>
      </c>
      <c r="B135" s="395"/>
      <c r="C135" s="288">
        <f t="shared" si="16"/>
        <v>0</v>
      </c>
      <c r="D135" s="395">
        <v>1.4973739999999978E-2</v>
      </c>
      <c r="E135" s="288">
        <f t="shared" si="17"/>
        <v>9.3129046511267638E-5</v>
      </c>
      <c r="F135" s="395">
        <v>2.3473639999999987E-2</v>
      </c>
      <c r="G135" s="288">
        <f>(F135/Table223729[[#Totals],[Column6]])*100</f>
        <v>1.6287285425678621E-4</v>
      </c>
      <c r="H135" s="288" t="s">
        <v>240</v>
      </c>
      <c r="I135" s="287" t="s">
        <v>240</v>
      </c>
      <c r="K135" s="289"/>
    </row>
    <row r="136" spans="1:11" ht="14.5" x14ac:dyDescent="0.35">
      <c r="A136" s="252" t="s">
        <v>845</v>
      </c>
      <c r="B136" s="395">
        <v>15.580526129999976</v>
      </c>
      <c r="C136" s="288">
        <f t="shared" si="16"/>
        <v>9.0018674495133968E-2</v>
      </c>
      <c r="D136" s="395">
        <v>0.19836882</v>
      </c>
      <c r="E136" s="288">
        <f t="shared" si="17"/>
        <v>1.2337531614790495E-3</v>
      </c>
      <c r="F136" s="395">
        <v>1.9185509999999899E-2</v>
      </c>
      <c r="G136" s="288">
        <f>(F136/Table223729[[#Totals],[Column6]])*100</f>
        <v>1.3311948100388775E-4</v>
      </c>
      <c r="H136" s="288" t="s">
        <v>240</v>
      </c>
      <c r="I136" s="287" t="s">
        <v>240</v>
      </c>
      <c r="K136" s="289"/>
    </row>
    <row r="137" spans="1:11" ht="14.5" x14ac:dyDescent="0.35">
      <c r="A137" s="252" t="s">
        <v>237</v>
      </c>
      <c r="B137" s="395">
        <v>3.9206000000000001E-4</v>
      </c>
      <c r="C137" s="288">
        <f t="shared" si="16"/>
        <v>2.2651816266080282E-6</v>
      </c>
      <c r="D137" s="395">
        <v>0.49936905999999903</v>
      </c>
      <c r="E137" s="288">
        <f t="shared" si="17"/>
        <v>3.1058215525999501E-3</v>
      </c>
      <c r="F137" s="395">
        <v>1.8936689999999898E-2</v>
      </c>
      <c r="G137" s="288">
        <f>(F137/Table223729[[#Totals],[Column6]])*100</f>
        <v>1.3139303280087478E-4</v>
      </c>
      <c r="H137" s="288" t="s">
        <v>240</v>
      </c>
      <c r="I137" s="287" t="s">
        <v>240</v>
      </c>
      <c r="K137" s="289"/>
    </row>
    <row r="138" spans="1:11" ht="14.5" x14ac:dyDescent="0.35">
      <c r="A138" s="252" t="s">
        <v>868</v>
      </c>
      <c r="B138" s="395">
        <v>2.185788E-2</v>
      </c>
      <c r="C138" s="288">
        <f t="shared" si="16"/>
        <v>1.2628696672091792E-4</v>
      </c>
      <c r="D138" s="395">
        <v>1.8321830000000001E-2</v>
      </c>
      <c r="E138" s="288">
        <f t="shared" si="17"/>
        <v>1.1395246332856996E-4</v>
      </c>
      <c r="F138" s="395">
        <v>1.8215099999999887E-2</v>
      </c>
      <c r="G138" s="288">
        <f>(F138/Table223729[[#Totals],[Column6]])*100</f>
        <v>1.2638624974962423E-4</v>
      </c>
      <c r="H138" s="288" t="s">
        <v>240</v>
      </c>
      <c r="I138" s="287">
        <f>((F138/B138)-1)*100</f>
        <v>-16.665751664846329</v>
      </c>
      <c r="K138" s="289"/>
    </row>
    <row r="139" spans="1:11" ht="14.5" x14ac:dyDescent="0.35">
      <c r="A139" s="252" t="s">
        <v>854</v>
      </c>
      <c r="B139" s="395">
        <v>3.3055299999999901E-3</v>
      </c>
      <c r="C139" s="288">
        <f t="shared" si="16"/>
        <v>1.9098163092898056E-5</v>
      </c>
      <c r="D139" s="395">
        <v>4.2303599999999886E-2</v>
      </c>
      <c r="E139" s="288">
        <f t="shared" si="17"/>
        <v>2.6310687456801418E-4</v>
      </c>
      <c r="F139" s="395">
        <v>1.7617600000000001E-2</v>
      </c>
      <c r="G139" s="288">
        <f>(F139/Table223729[[#Totals],[Column6]])*100</f>
        <v>1.2224047046620627E-4</v>
      </c>
      <c r="H139" s="288">
        <f>((F139/D139)-1)*100</f>
        <v>-58.354371731956498</v>
      </c>
      <c r="I139" s="287" t="s">
        <v>240</v>
      </c>
      <c r="K139" s="289"/>
    </row>
    <row r="140" spans="1:11" ht="14.5" x14ac:dyDescent="0.35">
      <c r="A140" s="252" t="s">
        <v>866</v>
      </c>
      <c r="B140" s="395"/>
      <c r="C140" s="288">
        <f t="shared" si="16"/>
        <v>0</v>
      </c>
      <c r="D140" s="395"/>
      <c r="E140" s="288">
        <f t="shared" si="17"/>
        <v>0</v>
      </c>
      <c r="F140" s="395">
        <v>1.73417999999999E-2</v>
      </c>
      <c r="G140" s="288">
        <f>(F140/Table223729[[#Totals],[Column6]])*100</f>
        <v>1.2032682038023588E-4</v>
      </c>
      <c r="H140" s="288" t="s">
        <v>240</v>
      </c>
      <c r="I140" s="287" t="s">
        <v>240</v>
      </c>
      <c r="K140" s="289"/>
    </row>
    <row r="141" spans="1:11" ht="14.5" x14ac:dyDescent="0.35">
      <c r="A141" s="252" t="s">
        <v>960</v>
      </c>
      <c r="B141" s="395"/>
      <c r="C141" s="288">
        <f t="shared" si="16"/>
        <v>0</v>
      </c>
      <c r="D141" s="395"/>
      <c r="E141" s="288">
        <f t="shared" si="17"/>
        <v>0</v>
      </c>
      <c r="F141" s="395">
        <v>1.510309E-2</v>
      </c>
      <c r="G141" s="288">
        <f>(F141/Table223729[[#Totals],[Column6]])*100</f>
        <v>1.0479343537675139E-4</v>
      </c>
      <c r="H141" s="288" t="s">
        <v>240</v>
      </c>
      <c r="I141" s="287" t="s">
        <v>240</v>
      </c>
      <c r="K141" s="289"/>
    </row>
    <row r="142" spans="1:11" ht="14.5" x14ac:dyDescent="0.35">
      <c r="A142" s="252" t="s">
        <v>915</v>
      </c>
      <c r="B142" s="395">
        <v>1.801809999999989E-3</v>
      </c>
      <c r="C142" s="288">
        <f t="shared" si="16"/>
        <v>1.0410209933782039E-5</v>
      </c>
      <c r="D142" s="395">
        <v>4.5073399999999899E-3</v>
      </c>
      <c r="E142" s="288">
        <f t="shared" si="17"/>
        <v>2.8033362172850386E-5</v>
      </c>
      <c r="F142" s="395">
        <v>1.212437999999999E-2</v>
      </c>
      <c r="G142" s="288">
        <f>(F142/Table223729[[#Totals],[Column6]])*100</f>
        <v>8.4125528750287259E-5</v>
      </c>
      <c r="H142" s="288" t="s">
        <v>240</v>
      </c>
      <c r="I142" s="287" t="s">
        <v>240</v>
      </c>
      <c r="K142" s="289"/>
    </row>
    <row r="143" spans="1:11" ht="14.5" x14ac:dyDescent="0.35">
      <c r="A143" s="252" t="s">
        <v>859</v>
      </c>
      <c r="B143" s="395">
        <v>2.4470489999999998E-2</v>
      </c>
      <c r="C143" s="288">
        <f t="shared" si="16"/>
        <v>1.413816873491187E-4</v>
      </c>
      <c r="D143" s="395">
        <v>9.8244709999999902E-2</v>
      </c>
      <c r="E143" s="288">
        <f t="shared" si="17"/>
        <v>6.1103212471139503E-4</v>
      </c>
      <c r="F143" s="395">
        <v>1.0276020000000002E-2</v>
      </c>
      <c r="G143" s="288">
        <f>(F143/Table223729[[#Totals],[Column6]])*100</f>
        <v>7.1300603902923516E-5</v>
      </c>
      <c r="H143" s="288" t="s">
        <v>240</v>
      </c>
      <c r="I143" s="287" t="s">
        <v>240</v>
      </c>
      <c r="K143" s="289"/>
    </row>
    <row r="144" spans="1:11" ht="14.5" x14ac:dyDescent="0.35">
      <c r="A144" s="252" t="s">
        <v>871</v>
      </c>
      <c r="B144" s="395">
        <v>9.9615399999999892E-3</v>
      </c>
      <c r="C144" s="288">
        <f t="shared" si="16"/>
        <v>5.7554194206807406E-5</v>
      </c>
      <c r="D144" s="395">
        <v>2.1062560000000001E-2</v>
      </c>
      <c r="E144" s="288">
        <f t="shared" si="17"/>
        <v>1.3099840987531292E-4</v>
      </c>
      <c r="F144" s="395">
        <v>9.0824399999999902E-3</v>
      </c>
      <c r="G144" s="288">
        <f>(F144/Table223729[[#Totals],[Column6]])*100</f>
        <v>6.3018898066767855E-5</v>
      </c>
      <c r="H144" s="288" t="s">
        <v>240</v>
      </c>
      <c r="I144" s="287" t="s">
        <v>240</v>
      </c>
      <c r="K144" s="289"/>
    </row>
    <row r="145" spans="1:11" ht="14.5" x14ac:dyDescent="0.35">
      <c r="A145" s="252" t="s">
        <v>914</v>
      </c>
      <c r="B145" s="395">
        <v>2.8024299999999899E-3</v>
      </c>
      <c r="C145" s="288">
        <f t="shared" si="16"/>
        <v>1.6191432295707577E-5</v>
      </c>
      <c r="D145" s="395">
        <v>4.5028900000000007E-3</v>
      </c>
      <c r="E145" s="288">
        <f t="shared" si="17"/>
        <v>2.8005685436312012E-5</v>
      </c>
      <c r="F145" s="395">
        <v>8.8620599999999893E-3</v>
      </c>
      <c r="G145" s="288">
        <f>(F145/Table223729[[#Totals],[Column6]])*100</f>
        <v>6.1489782019102869E-5</v>
      </c>
      <c r="H145" s="288" t="s">
        <v>240</v>
      </c>
      <c r="I145" s="287" t="s">
        <v>240</v>
      </c>
      <c r="K145" s="289"/>
    </row>
    <row r="146" spans="1:11" ht="14.5" x14ac:dyDescent="0.35">
      <c r="A146" s="252" t="s">
        <v>315</v>
      </c>
      <c r="B146" s="395">
        <v>72.728027909999909</v>
      </c>
      <c r="C146" s="288">
        <f t="shared" si="16"/>
        <v>0.42019637953672306</v>
      </c>
      <c r="D146" s="395"/>
      <c r="E146" s="288">
        <f t="shared" si="17"/>
        <v>0</v>
      </c>
      <c r="F146" s="395">
        <v>6.3498800000000005E-3</v>
      </c>
      <c r="G146" s="288">
        <f>(F146/Table223729[[#Totals],[Column6]])*100</f>
        <v>4.4058913734217715E-5</v>
      </c>
      <c r="H146" s="288" t="s">
        <v>240</v>
      </c>
      <c r="I146" s="287" t="s">
        <v>240</v>
      </c>
      <c r="K146" s="289"/>
    </row>
    <row r="147" spans="1:11" ht="14.5" x14ac:dyDescent="0.35">
      <c r="A147" s="252" t="s">
        <v>279</v>
      </c>
      <c r="B147" s="395"/>
      <c r="C147" s="288">
        <f t="shared" si="16"/>
        <v>0</v>
      </c>
      <c r="D147" s="395">
        <v>1.473789999999999E-2</v>
      </c>
      <c r="E147" s="288">
        <f t="shared" si="17"/>
        <v>9.1662241669643814E-5</v>
      </c>
      <c r="F147" s="395">
        <v>6.2948199999999675E-3</v>
      </c>
      <c r="G147" s="288">
        <f>(F147/Table223729[[#Totals],[Column6]])*100</f>
        <v>4.3676877571296922E-5</v>
      </c>
      <c r="H147" s="288" t="s">
        <v>240</v>
      </c>
      <c r="I147" s="287" t="s">
        <v>240</v>
      </c>
      <c r="K147" s="289"/>
    </row>
    <row r="148" spans="1:11" ht="14.5" x14ac:dyDescent="0.35">
      <c r="A148" s="252" t="s">
        <v>878</v>
      </c>
      <c r="B148" s="395">
        <v>3.3466000000000002E-4</v>
      </c>
      <c r="C148" s="288">
        <f t="shared" si="16"/>
        <v>1.9335450776938294E-6</v>
      </c>
      <c r="D148" s="395">
        <v>1.2464199999999985E-3</v>
      </c>
      <c r="E148" s="288">
        <f t="shared" si="17"/>
        <v>7.7520984171338782E-6</v>
      </c>
      <c r="F148" s="395">
        <v>5.89866E-3</v>
      </c>
      <c r="G148" s="288">
        <f>(F148/Table223729[[#Totals],[Column6]])*100</f>
        <v>4.0928104481892673E-5</v>
      </c>
      <c r="H148" s="288" t="s">
        <v>240</v>
      </c>
      <c r="I148" s="287" t="s">
        <v>240</v>
      </c>
      <c r="K148" s="289"/>
    </row>
    <row r="149" spans="1:11" ht="14.5" x14ac:dyDescent="0.35">
      <c r="A149" s="252" t="s">
        <v>865</v>
      </c>
      <c r="B149" s="395">
        <v>2.7254899999999897E-3</v>
      </c>
      <c r="C149" s="288">
        <f t="shared" si="16"/>
        <v>1.574690065679715E-5</v>
      </c>
      <c r="D149" s="395">
        <v>4.0447800000000004E-3</v>
      </c>
      <c r="E149" s="288">
        <f t="shared" si="17"/>
        <v>2.5156474250778074E-5</v>
      </c>
      <c r="F149" s="395">
        <v>5.7056499999999788E-3</v>
      </c>
      <c r="G149" s="288">
        <f>(F149/Table223729[[#Totals],[Column6]])*100</f>
        <v>3.9588896348850423E-5</v>
      </c>
      <c r="H149" s="288">
        <f>((F149/D149)-1)*100</f>
        <v>41.062060235661235</v>
      </c>
      <c r="I149" s="287" t="s">
        <v>240</v>
      </c>
      <c r="K149" s="289"/>
    </row>
    <row r="150" spans="1:11" ht="14.5" x14ac:dyDescent="0.35">
      <c r="A150" s="252" t="s">
        <v>268</v>
      </c>
      <c r="B150" s="395">
        <v>3.0167900000000004E-2</v>
      </c>
      <c r="C150" s="288">
        <f t="shared" si="16"/>
        <v>1.7429927254335647E-4</v>
      </c>
      <c r="D150" s="395">
        <v>3.1761109999999877E-2</v>
      </c>
      <c r="E150" s="288">
        <f t="shared" si="17"/>
        <v>1.975379491322462E-4</v>
      </c>
      <c r="F150" s="395">
        <v>4.3293799999999999E-3</v>
      </c>
      <c r="G150" s="288">
        <f>(F150/Table223729[[#Totals],[Column6]])*100</f>
        <v>3.0039588140665247E-5</v>
      </c>
      <c r="H150" s="288" t="s">
        <v>240</v>
      </c>
      <c r="I150" s="287" t="s">
        <v>240</v>
      </c>
      <c r="K150" s="289"/>
    </row>
    <row r="151" spans="1:11" ht="14.5" x14ac:dyDescent="0.35">
      <c r="A151" s="252" t="s">
        <v>831</v>
      </c>
      <c r="B151" s="395">
        <v>2.3E-2</v>
      </c>
      <c r="C151" s="288">
        <f t="shared" si="16"/>
        <v>1.3288572517467897E-4</v>
      </c>
      <c r="D151" s="395">
        <v>2.5400000000000002E-3</v>
      </c>
      <c r="E151" s="288">
        <f t="shared" si="17"/>
        <v>1.5797508046661698E-5</v>
      </c>
      <c r="F151" s="395">
        <v>4.0400000000000002E-3</v>
      </c>
      <c r="G151" s="288">
        <f>(F151/Table223729[[#Totals],[Column6]])*100</f>
        <v>2.8031712644371161E-5</v>
      </c>
      <c r="H151" s="288" t="s">
        <v>240</v>
      </c>
      <c r="I151" s="287" t="s">
        <v>240</v>
      </c>
      <c r="K151" s="289"/>
    </row>
    <row r="152" spans="1:11" ht="14.5" x14ac:dyDescent="0.35">
      <c r="A152" s="252" t="s">
        <v>959</v>
      </c>
      <c r="B152" s="395"/>
      <c r="C152" s="288">
        <f t="shared" si="16"/>
        <v>0</v>
      </c>
      <c r="D152" s="395"/>
      <c r="E152" s="288">
        <f t="shared" si="17"/>
        <v>0</v>
      </c>
      <c r="F152" s="395">
        <v>3.6535999999999999E-3</v>
      </c>
      <c r="G152" s="288">
        <f>(F152/Table223729[[#Totals],[Column6]])*100</f>
        <v>2.5350659732048135E-5</v>
      </c>
      <c r="H152" s="288" t="s">
        <v>240</v>
      </c>
      <c r="I152" s="287" t="s">
        <v>240</v>
      </c>
      <c r="K152" s="289"/>
    </row>
    <row r="153" spans="1:11" ht="14.5" x14ac:dyDescent="0.35">
      <c r="A153" s="252" t="s">
        <v>867</v>
      </c>
      <c r="B153" s="395">
        <v>3.2366699999999797E-3</v>
      </c>
      <c r="C153" s="288">
        <f t="shared" si="16"/>
        <v>1.8700314787005456E-5</v>
      </c>
      <c r="D153" s="395">
        <v>1.0090500000000001E-3</v>
      </c>
      <c r="E153" s="288">
        <f t="shared" si="17"/>
        <v>6.2757777537338535E-6</v>
      </c>
      <c r="F153" s="395">
        <v>3.5927299999999902E-3</v>
      </c>
      <c r="G153" s="288">
        <f>(F153/Table223729[[#Totals],[Column6]])*100</f>
        <v>2.4928310635844388E-5</v>
      </c>
      <c r="H153" s="288" t="s">
        <v>240</v>
      </c>
      <c r="I153" s="287" t="s">
        <v>240</v>
      </c>
      <c r="K153" s="289"/>
    </row>
    <row r="154" spans="1:11" ht="14.5" x14ac:dyDescent="0.35">
      <c r="A154" s="252" t="s">
        <v>275</v>
      </c>
      <c r="B154" s="395">
        <v>4.0154249999999891E-2</v>
      </c>
      <c r="C154" s="288">
        <f t="shared" si="16"/>
        <v>2.3199681000414518E-4</v>
      </c>
      <c r="D154" s="395"/>
      <c r="E154" s="288">
        <f t="shared" si="17"/>
        <v>0</v>
      </c>
      <c r="F154" s="395">
        <v>3.5069200000000002E-3</v>
      </c>
      <c r="G154" s="288">
        <f>(F154/Table223729[[#Totals],[Column6]])*100</f>
        <v>2.4332914283860921E-5</v>
      </c>
      <c r="H154" s="288" t="s">
        <v>240</v>
      </c>
      <c r="I154" s="287" t="s">
        <v>240</v>
      </c>
      <c r="K154" s="289"/>
    </row>
    <row r="155" spans="1:11" ht="14.5" x14ac:dyDescent="0.35">
      <c r="A155" s="252" t="s">
        <v>917</v>
      </c>
      <c r="B155" s="395"/>
      <c r="C155" s="288">
        <f t="shared" si="16"/>
        <v>0</v>
      </c>
      <c r="D155" s="395">
        <v>6.3491400000000005E-3</v>
      </c>
      <c r="E155" s="288">
        <f t="shared" si="17"/>
        <v>3.9488421354087274E-5</v>
      </c>
      <c r="F155" s="395">
        <v>3.4491399999999899E-3</v>
      </c>
      <c r="G155" s="288">
        <f>(F155/Table223729[[#Totals],[Column6]])*100</f>
        <v>2.3932005284704468E-5</v>
      </c>
      <c r="H155" s="288" t="s">
        <v>240</v>
      </c>
      <c r="I155" s="287" t="s">
        <v>240</v>
      </c>
      <c r="K155" s="289"/>
    </row>
    <row r="156" spans="1:11" ht="14.5" x14ac:dyDescent="0.35">
      <c r="A156" s="252" t="s">
        <v>335</v>
      </c>
      <c r="B156" s="395">
        <v>1.2789E-4</v>
      </c>
      <c r="C156" s="288">
        <f t="shared" si="16"/>
        <v>7.3890240837346496E-7</v>
      </c>
      <c r="D156" s="395">
        <v>1.7012679999999999E-2</v>
      </c>
      <c r="E156" s="288">
        <f t="shared" si="17"/>
        <v>1.0581021621861439E-4</v>
      </c>
      <c r="F156" s="395">
        <v>2.56829E-3</v>
      </c>
      <c r="G156" s="288">
        <f>(F156/Table223729[[#Totals],[Column6]])*100</f>
        <v>1.782018991767624E-5</v>
      </c>
      <c r="H156" s="288" t="s">
        <v>240</v>
      </c>
      <c r="I156" s="287" t="s">
        <v>240</v>
      </c>
      <c r="K156" s="289"/>
    </row>
    <row r="157" spans="1:11" ht="14.5" x14ac:dyDescent="0.35">
      <c r="A157" s="252" t="s">
        <v>958</v>
      </c>
      <c r="B157" s="395"/>
      <c r="C157" s="288">
        <f t="shared" si="16"/>
        <v>0</v>
      </c>
      <c r="D157" s="395"/>
      <c r="E157" s="288">
        <f t="shared" si="17"/>
        <v>0</v>
      </c>
      <c r="F157" s="395">
        <v>1.9067999999999999E-3</v>
      </c>
      <c r="G157" s="288">
        <f>(F157/Table223729[[#Totals],[Column6]])*100</f>
        <v>1.3230413284724486E-5</v>
      </c>
      <c r="H157" s="288" t="s">
        <v>240</v>
      </c>
      <c r="I157" s="287" t="s">
        <v>240</v>
      </c>
      <c r="K157" s="289"/>
    </row>
    <row r="158" spans="1:11" ht="14.5" x14ac:dyDescent="0.35">
      <c r="A158" s="252" t="s">
        <v>872</v>
      </c>
      <c r="B158" s="395">
        <v>3.4419499999999896E-3</v>
      </c>
      <c r="C158" s="288">
        <f t="shared" si="16"/>
        <v>1.988634877239065E-5</v>
      </c>
      <c r="D158" s="395">
        <v>1.1739000000000001E-3</v>
      </c>
      <c r="E158" s="288">
        <f t="shared" si="17"/>
        <v>7.301060903927626E-6</v>
      </c>
      <c r="F158" s="395">
        <v>1.1739000000000001E-3</v>
      </c>
      <c r="G158" s="288">
        <f>(F158/Table223729[[#Totals],[Column6]])*100</f>
        <v>8.145155315155274E-6</v>
      </c>
      <c r="H158" s="288">
        <f>((F158/D158)-1)*100</f>
        <v>0</v>
      </c>
      <c r="I158" s="287" t="s">
        <v>240</v>
      </c>
      <c r="K158" s="289"/>
    </row>
    <row r="159" spans="1:11" ht="14.5" x14ac:dyDescent="0.35">
      <c r="A159" s="252" t="s">
        <v>921</v>
      </c>
      <c r="B159" s="395"/>
      <c r="C159" s="288">
        <f t="shared" si="16"/>
        <v>0</v>
      </c>
      <c r="D159" s="395">
        <v>1.9707700000000002E-3</v>
      </c>
      <c r="E159" s="288">
        <f t="shared" si="17"/>
        <v>1.2257186981543101E-5</v>
      </c>
      <c r="F159" s="395">
        <v>9.6052999999999894E-4</v>
      </c>
      <c r="G159" s="288">
        <f>(F159/Table223729[[#Totals],[Column6]])*100</f>
        <v>6.6646784520539103E-6</v>
      </c>
      <c r="H159" s="288" t="s">
        <v>240</v>
      </c>
      <c r="I159" s="287" t="s">
        <v>240</v>
      </c>
      <c r="K159" s="289"/>
    </row>
    <row r="160" spans="1:11" ht="14.5" x14ac:dyDescent="0.35">
      <c r="A160" s="252" t="s">
        <v>908</v>
      </c>
      <c r="B160" s="395"/>
      <c r="C160" s="288">
        <f t="shared" si="16"/>
        <v>0</v>
      </c>
      <c r="D160" s="395">
        <v>6.2534561899999987</v>
      </c>
      <c r="E160" s="288">
        <f t="shared" si="17"/>
        <v>3.8893316724791883E-2</v>
      </c>
      <c r="F160" s="395">
        <v>9.1388000000000005E-4</v>
      </c>
      <c r="G160" s="288">
        <f>(F160/Table223729[[#Totals],[Column6]])*100</f>
        <v>6.3409954335242369E-6</v>
      </c>
      <c r="H160" s="288" t="s">
        <v>240</v>
      </c>
      <c r="I160" s="287" t="s">
        <v>240</v>
      </c>
      <c r="K160" s="289"/>
    </row>
    <row r="161" spans="1:11" ht="14.5" x14ac:dyDescent="0.35">
      <c r="A161" s="252" t="s">
        <v>911</v>
      </c>
      <c r="B161" s="395"/>
      <c r="C161" s="288">
        <f t="shared" si="16"/>
        <v>0</v>
      </c>
      <c r="D161" s="395">
        <v>5.6113229999999903E-2</v>
      </c>
      <c r="E161" s="288">
        <f t="shared" si="17"/>
        <v>3.4899574899573902E-4</v>
      </c>
      <c r="F161" s="395">
        <v>9.1350000000000003E-4</v>
      </c>
      <c r="G161" s="288">
        <f>(F161/Table223729[[#Totals],[Column6]])*100</f>
        <v>6.3383587872854101E-6</v>
      </c>
      <c r="H161" s="288" t="s">
        <v>240</v>
      </c>
      <c r="I161" s="287" t="s">
        <v>240</v>
      </c>
      <c r="K161" s="289"/>
    </row>
    <row r="162" spans="1:11" ht="14.5" x14ac:dyDescent="0.35">
      <c r="A162" s="252" t="s">
        <v>288</v>
      </c>
      <c r="B162" s="395">
        <v>1.643890999999998E-2</v>
      </c>
      <c r="C162" s="288">
        <f t="shared" si="16"/>
        <v>9.4978107670925193E-5</v>
      </c>
      <c r="D162" s="395">
        <v>4.1580000000000002E-3</v>
      </c>
      <c r="E162" s="288">
        <f t="shared" si="17"/>
        <v>2.5860645062212341E-5</v>
      </c>
      <c r="F162" s="395">
        <v>7.6217999999999902E-4</v>
      </c>
      <c r="G162" s="288">
        <f>(F162/Table223729[[#Totals],[Column6]])*100</f>
        <v>5.2884185008135597E-6</v>
      </c>
      <c r="H162" s="288" t="s">
        <v>240</v>
      </c>
      <c r="I162" s="287" t="s">
        <v>240</v>
      </c>
      <c r="K162" s="289"/>
    </row>
    <row r="163" spans="1:11" ht="14.5" x14ac:dyDescent="0.35">
      <c r="A163" s="252" t="s">
        <v>957</v>
      </c>
      <c r="B163" s="395">
        <v>6.446699999999991E-4</v>
      </c>
      <c r="C163" s="288">
        <f t="shared" si="16"/>
        <v>3.724671323841747E-6</v>
      </c>
      <c r="D163" s="395"/>
      <c r="E163" s="288">
        <f t="shared" si="17"/>
        <v>0</v>
      </c>
      <c r="F163" s="395">
        <v>6.0507000000000009E-4</v>
      </c>
      <c r="G163" s="288">
        <f>(F163/Table223729[[#Totals],[Column6]])*100</f>
        <v>4.1983040519132824E-6</v>
      </c>
      <c r="H163" s="288" t="s">
        <v>240</v>
      </c>
      <c r="I163" s="287" t="s">
        <v>240</v>
      </c>
      <c r="K163" s="289"/>
    </row>
    <row r="164" spans="1:11" ht="14.5" x14ac:dyDescent="0.35">
      <c r="A164" s="252" t="s">
        <v>916</v>
      </c>
      <c r="B164" s="395"/>
      <c r="C164" s="288">
        <f t="shared" ref="C164:C186" si="18">(B164/$B$187)*100</f>
        <v>0</v>
      </c>
      <c r="D164" s="395">
        <v>5.7085999999999997E-4</v>
      </c>
      <c r="E164" s="288">
        <f t="shared" ref="E164:E186" si="19">(D164/$D$187)*100</f>
        <v>3.5504588360304317E-6</v>
      </c>
      <c r="F164" s="395">
        <v>5.4528999999999906E-4</v>
      </c>
      <c r="G164" s="288">
        <f>(F164/Table223729[[#Totals],[Column6]])*100</f>
        <v>3.7835179672893866E-6</v>
      </c>
      <c r="H164" s="288" t="s">
        <v>240</v>
      </c>
      <c r="I164" s="287" t="s">
        <v>240</v>
      </c>
      <c r="K164" s="289"/>
    </row>
    <row r="165" spans="1:11" ht="14.5" x14ac:dyDescent="0.35">
      <c r="A165" s="252" t="s">
        <v>956</v>
      </c>
      <c r="B165" s="395">
        <v>1.7090999999999899E-3</v>
      </c>
      <c r="C165" s="288">
        <f t="shared" si="18"/>
        <v>9.8745649085235871E-6</v>
      </c>
      <c r="D165" s="395"/>
      <c r="E165" s="288">
        <f t="shared" si="19"/>
        <v>0</v>
      </c>
      <c r="F165" s="395">
        <v>5.1204999999999903E-4</v>
      </c>
      <c r="G165" s="288">
        <f>(F165/Table223729[[#Totals],[Column6]])*100</f>
        <v>3.5528808068193629E-6</v>
      </c>
      <c r="H165" s="288" t="s">
        <v>240</v>
      </c>
      <c r="I165" s="287" t="s">
        <v>240</v>
      </c>
      <c r="K165" s="289"/>
    </row>
    <row r="166" spans="1:11" ht="14.5" x14ac:dyDescent="0.35">
      <c r="A166" s="252" t="s">
        <v>945</v>
      </c>
      <c r="B166" s="395"/>
      <c r="C166" s="288">
        <f t="shared" si="18"/>
        <v>0</v>
      </c>
      <c r="D166" s="395">
        <v>7.6623880000000005E-2</v>
      </c>
      <c r="E166" s="288">
        <f t="shared" si="19"/>
        <v>4.7656155939623638E-4</v>
      </c>
      <c r="F166" s="395">
        <v>4.13999999999999E-6</v>
      </c>
      <c r="G166" s="288">
        <f>(F166/Table223729[[#Totals],[Column6]])*100</f>
        <v>2.8725566917746619E-8</v>
      </c>
      <c r="H166" s="288" t="s">
        <v>240</v>
      </c>
      <c r="I166" s="287" t="s">
        <v>240</v>
      </c>
      <c r="K166" s="289"/>
    </row>
    <row r="167" spans="1:11" ht="14.5" x14ac:dyDescent="0.35">
      <c r="A167" s="252" t="s">
        <v>922</v>
      </c>
      <c r="B167" s="395">
        <v>1.4553299999999977E-2</v>
      </c>
      <c r="C167" s="288">
        <f t="shared" si="18"/>
        <v>8.4083731486289253E-5</v>
      </c>
      <c r="D167" s="395">
        <v>2.8464999999999903E-4</v>
      </c>
      <c r="E167" s="288">
        <f t="shared" si="19"/>
        <v>1.7703782147567864E-6</v>
      </c>
      <c r="F167" s="395"/>
      <c r="G167" s="288">
        <f>(F167/Table223729[[#Totals],[Column6]])*100</f>
        <v>0</v>
      </c>
      <c r="H167" s="288" t="s">
        <v>240</v>
      </c>
      <c r="I167" s="287">
        <f>((F167/B167)-1)*100</f>
        <v>-100</v>
      </c>
      <c r="K167" s="289"/>
    </row>
    <row r="168" spans="1:11" ht="14.5" x14ac:dyDescent="0.35">
      <c r="A168" s="252" t="s">
        <v>327</v>
      </c>
      <c r="B168" s="395"/>
      <c r="C168" s="288">
        <f t="shared" si="18"/>
        <v>0</v>
      </c>
      <c r="D168" s="395">
        <v>6.1362000000000005E-4</v>
      </c>
      <c r="E168" s="288">
        <f t="shared" si="19"/>
        <v>3.8164042864537607E-6</v>
      </c>
      <c r="F168" s="395"/>
      <c r="G168" s="288">
        <f>(F168/Table223729[[#Totals],[Column6]])*100</f>
        <v>0</v>
      </c>
      <c r="H168" s="288" t="s">
        <v>240</v>
      </c>
      <c r="I168" s="287" t="s">
        <v>240</v>
      </c>
      <c r="K168" s="289"/>
    </row>
    <row r="169" spans="1:11" ht="14.5" x14ac:dyDescent="0.35">
      <c r="A169" s="252" t="s">
        <v>920</v>
      </c>
      <c r="B169" s="395"/>
      <c r="C169" s="288">
        <f t="shared" si="18"/>
        <v>0</v>
      </c>
      <c r="D169" s="395">
        <v>4.119939999999999E-3</v>
      </c>
      <c r="E169" s="288">
        <f t="shared" si="19"/>
        <v>2.5623931221166688E-5</v>
      </c>
      <c r="F169" s="395"/>
      <c r="G169" s="288">
        <f>(F169/Table223729[[#Totals],[Column6]])*100</f>
        <v>0</v>
      </c>
      <c r="H169" s="288">
        <f>((F169/D169)-1)*100</f>
        <v>-100</v>
      </c>
      <c r="I169" s="287" t="s">
        <v>240</v>
      </c>
      <c r="K169" s="289"/>
    </row>
    <row r="170" spans="1:11" ht="14.5" x14ac:dyDescent="0.35">
      <c r="A170" s="252" t="s">
        <v>877</v>
      </c>
      <c r="B170" s="395"/>
      <c r="C170" s="288">
        <f t="shared" si="18"/>
        <v>0</v>
      </c>
      <c r="D170" s="395">
        <v>5.8670799999999898E-3</v>
      </c>
      <c r="E170" s="288">
        <f t="shared" si="19"/>
        <v>3.6490253350554238E-5</v>
      </c>
      <c r="F170" s="395"/>
      <c r="G170" s="288">
        <f>(F170/Table223729[[#Totals],[Column6]])*100</f>
        <v>0</v>
      </c>
      <c r="H170" s="288" t="s">
        <v>240</v>
      </c>
      <c r="I170" s="287" t="s">
        <v>240</v>
      </c>
      <c r="K170" s="289"/>
    </row>
    <row r="171" spans="1:11" ht="14.5" x14ac:dyDescent="0.35">
      <c r="A171" s="252" t="s">
        <v>944</v>
      </c>
      <c r="B171" s="395"/>
      <c r="C171" s="288">
        <f t="shared" si="18"/>
        <v>0</v>
      </c>
      <c r="D171" s="395">
        <v>6.9317159999999906E-2</v>
      </c>
      <c r="E171" s="288">
        <f t="shared" si="19"/>
        <v>4.3111747750855707E-4</v>
      </c>
      <c r="F171" s="395"/>
      <c r="G171" s="288">
        <f>(F171/Table223729[[#Totals],[Column6]])*100</f>
        <v>0</v>
      </c>
      <c r="H171" s="288" t="s">
        <v>240</v>
      </c>
      <c r="I171" s="287" t="s">
        <v>240</v>
      </c>
      <c r="K171" s="289"/>
    </row>
    <row r="172" spans="1:11" ht="14.5" x14ac:dyDescent="0.35">
      <c r="A172" s="252" t="s">
        <v>919</v>
      </c>
      <c r="B172" s="395"/>
      <c r="C172" s="288">
        <f t="shared" si="18"/>
        <v>0</v>
      </c>
      <c r="D172" s="395">
        <v>8.4941200000000008E-3</v>
      </c>
      <c r="E172" s="288">
        <f t="shared" si="19"/>
        <v>5.2829105924925229E-5</v>
      </c>
      <c r="F172" s="395"/>
      <c r="G172" s="288">
        <f>(F172/Table223729[[#Totals],[Column6]])*100</f>
        <v>0</v>
      </c>
      <c r="H172" s="288" t="s">
        <v>240</v>
      </c>
      <c r="I172" s="287" t="s">
        <v>240</v>
      </c>
      <c r="K172" s="289"/>
    </row>
    <row r="173" spans="1:11" ht="14.5" x14ac:dyDescent="0.35">
      <c r="A173" s="252" t="s">
        <v>876</v>
      </c>
      <c r="B173" s="395"/>
      <c r="C173" s="288">
        <f t="shared" si="18"/>
        <v>0</v>
      </c>
      <c r="D173" s="395">
        <v>5.6220249999999999E-2</v>
      </c>
      <c r="E173" s="288">
        <f t="shared" si="19"/>
        <v>3.4966135896076077E-4</v>
      </c>
      <c r="F173" s="395"/>
      <c r="G173" s="288">
        <f>(F173/Table223729[[#Totals],[Column6]])*100</f>
        <v>0</v>
      </c>
      <c r="H173" s="288" t="s">
        <v>240</v>
      </c>
      <c r="I173" s="287" t="s">
        <v>240</v>
      </c>
      <c r="K173" s="289"/>
    </row>
    <row r="174" spans="1:11" ht="14.5" x14ac:dyDescent="0.35">
      <c r="A174" s="252" t="s">
        <v>943</v>
      </c>
      <c r="B174" s="395"/>
      <c r="C174" s="288">
        <f t="shared" si="18"/>
        <v>0</v>
      </c>
      <c r="D174" s="395">
        <v>1.4201300000000001E-3</v>
      </c>
      <c r="E174" s="288">
        <f t="shared" si="19"/>
        <v>8.8324862607502673E-6</v>
      </c>
      <c r="F174" s="395"/>
      <c r="G174" s="288">
        <f>(F174/Table223729[[#Totals],[Column6]])*100</f>
        <v>0</v>
      </c>
      <c r="H174" s="288" t="s">
        <v>240</v>
      </c>
      <c r="I174" s="287" t="s">
        <v>240</v>
      </c>
      <c r="K174" s="289"/>
    </row>
    <row r="175" spans="1:11" ht="14.5" x14ac:dyDescent="0.35">
      <c r="A175" s="252" t="s">
        <v>333</v>
      </c>
      <c r="B175" s="395"/>
      <c r="C175" s="288">
        <f t="shared" si="18"/>
        <v>0</v>
      </c>
      <c r="D175" s="395">
        <v>8.7500999999999898E-4</v>
      </c>
      <c r="E175" s="288">
        <f t="shared" si="19"/>
        <v>5.4421171322478095E-6</v>
      </c>
      <c r="F175" s="395"/>
      <c r="G175" s="288">
        <f>(F175/Table223729[[#Totals],[Column6]])*100</f>
        <v>0</v>
      </c>
      <c r="H175" s="288" t="s">
        <v>240</v>
      </c>
      <c r="I175" s="287" t="s">
        <v>240</v>
      </c>
      <c r="K175" s="289"/>
    </row>
    <row r="176" spans="1:11" ht="14.5" x14ac:dyDescent="0.35">
      <c r="A176" s="252" t="s">
        <v>918</v>
      </c>
      <c r="B176" s="395">
        <v>1.395892E-2</v>
      </c>
      <c r="C176" s="288">
        <f t="shared" si="18"/>
        <v>8.0649617689362163E-5</v>
      </c>
      <c r="D176" s="395"/>
      <c r="E176" s="288">
        <f t="shared" si="19"/>
        <v>0</v>
      </c>
      <c r="F176" s="395"/>
      <c r="G176" s="288">
        <f>(F176/Table223729[[#Totals],[Column6]])*100</f>
        <v>0</v>
      </c>
      <c r="H176" s="288" t="s">
        <v>240</v>
      </c>
      <c r="I176" s="287" t="s">
        <v>240</v>
      </c>
      <c r="K176" s="289"/>
    </row>
    <row r="177" spans="1:11" ht="14.5" x14ac:dyDescent="0.35">
      <c r="A177" s="252" t="s">
        <v>852</v>
      </c>
      <c r="B177" s="395"/>
      <c r="C177" s="288">
        <f t="shared" si="18"/>
        <v>0</v>
      </c>
      <c r="D177" s="395">
        <v>7.4458410000000003E-2</v>
      </c>
      <c r="E177" s="288">
        <f t="shared" si="19"/>
        <v>4.6309343744749444E-4</v>
      </c>
      <c r="F177" s="395"/>
      <c r="G177" s="288">
        <f>(F177/Table223729[[#Totals],[Column6]])*100</f>
        <v>0</v>
      </c>
      <c r="H177" s="288" t="s">
        <v>240</v>
      </c>
      <c r="I177" s="287" t="s">
        <v>240</v>
      </c>
      <c r="K177" s="289"/>
    </row>
    <row r="178" spans="1:11" ht="14.5" x14ac:dyDescent="0.35">
      <c r="A178" s="252" t="s">
        <v>236</v>
      </c>
      <c r="B178" s="395">
        <v>84.580933119999912</v>
      </c>
      <c r="C178" s="288">
        <f t="shared" si="18"/>
        <v>0.48867820146096574</v>
      </c>
      <c r="D178" s="395">
        <v>0.79557577999999884</v>
      </c>
      <c r="E178" s="288">
        <f t="shared" si="19"/>
        <v>4.9480766875114723E-3</v>
      </c>
      <c r="F178" s="395"/>
      <c r="G178" s="288">
        <f>(F178/Table223729[[#Totals],[Column6]])*100</f>
        <v>0</v>
      </c>
      <c r="H178" s="288" t="s">
        <v>240</v>
      </c>
      <c r="I178" s="287" t="s">
        <v>240</v>
      </c>
      <c r="K178" s="289"/>
    </row>
    <row r="179" spans="1:11" ht="14.5" x14ac:dyDescent="0.35">
      <c r="A179" s="252" t="s">
        <v>283</v>
      </c>
      <c r="B179" s="395">
        <v>1.5243199999999898E-3</v>
      </c>
      <c r="C179" s="288">
        <f t="shared" si="18"/>
        <v>8.8069725477506662E-6</v>
      </c>
      <c r="D179" s="395">
        <v>0.10576945</v>
      </c>
      <c r="E179" s="288">
        <f t="shared" si="19"/>
        <v>6.5783218010471739E-4</v>
      </c>
      <c r="F179" s="395"/>
      <c r="G179" s="288">
        <f>(F179/Table223729[[#Totals],[Column6]])*100</f>
        <v>0</v>
      </c>
      <c r="H179" s="288" t="s">
        <v>240</v>
      </c>
      <c r="I179" s="287" t="s">
        <v>240</v>
      </c>
      <c r="K179" s="289"/>
    </row>
    <row r="180" spans="1:11" ht="14.5" x14ac:dyDescent="0.35">
      <c r="A180" s="252" t="s">
        <v>912</v>
      </c>
      <c r="B180" s="395">
        <v>6.5384440000000002E-2</v>
      </c>
      <c r="C180" s="288">
        <f t="shared" si="18"/>
        <v>3.7776777063218642E-4</v>
      </c>
      <c r="D180" s="395">
        <v>5.7839959999999899E-2</v>
      </c>
      <c r="E180" s="288">
        <f t="shared" si="19"/>
        <v>3.5973513130653116E-4</v>
      </c>
      <c r="F180" s="395"/>
      <c r="G180" s="288">
        <f>(F180/Table223729[[#Totals],[Column6]])*100</f>
        <v>0</v>
      </c>
      <c r="H180" s="288" t="s">
        <v>240</v>
      </c>
      <c r="I180" s="287" t="s">
        <v>240</v>
      </c>
      <c r="K180" s="289"/>
    </row>
    <row r="181" spans="1:11" ht="14.5" x14ac:dyDescent="0.35">
      <c r="A181" s="252" t="s">
        <v>284</v>
      </c>
      <c r="B181" s="395"/>
      <c r="C181" s="288">
        <f t="shared" si="18"/>
        <v>0</v>
      </c>
      <c r="D181" s="395">
        <v>2.6746929999999999E-2</v>
      </c>
      <c r="E181" s="288">
        <f t="shared" si="19"/>
        <v>1.6635229996003826E-4</v>
      </c>
      <c r="F181" s="395"/>
      <c r="G181" s="288">
        <f>(F181/Table223729[[#Totals],[Column6]])*100</f>
        <v>0</v>
      </c>
      <c r="H181" s="288" t="s">
        <v>240</v>
      </c>
      <c r="I181" s="287" t="s">
        <v>240</v>
      </c>
      <c r="K181" s="289"/>
    </row>
    <row r="182" spans="1:11" ht="14.5" x14ac:dyDescent="0.35">
      <c r="A182" s="252" t="s">
        <v>295</v>
      </c>
      <c r="B182" s="395">
        <v>0.1303605599999999</v>
      </c>
      <c r="C182" s="288">
        <f t="shared" si="18"/>
        <v>7.5317641520770593E-4</v>
      </c>
      <c r="D182" s="395">
        <v>4.3546399999999904E-3</v>
      </c>
      <c r="E182" s="288">
        <f t="shared" si="19"/>
        <v>2.7083645842643601E-5</v>
      </c>
      <c r="F182" s="395"/>
      <c r="G182" s="288">
        <f>(F182/Table223729[[#Totals],[Column6]])*100</f>
        <v>0</v>
      </c>
      <c r="H182" s="288" t="s">
        <v>240</v>
      </c>
      <c r="I182" s="287" t="s">
        <v>240</v>
      </c>
    </row>
    <row r="183" spans="1:11" ht="14.5" x14ac:dyDescent="0.35">
      <c r="A183" s="252" t="s">
        <v>874</v>
      </c>
      <c r="B183" s="395">
        <v>4.4053169999999899E-2</v>
      </c>
      <c r="C183" s="288">
        <f t="shared" si="18"/>
        <v>2.545233670301478E-4</v>
      </c>
      <c r="D183" s="395"/>
      <c r="E183" s="288">
        <f t="shared" si="19"/>
        <v>0</v>
      </c>
      <c r="F183" s="395"/>
      <c r="G183" s="288">
        <f>(F183/Table223729[[#Totals],[Column6]])*100</f>
        <v>0</v>
      </c>
      <c r="H183" s="288" t="s">
        <v>240</v>
      </c>
      <c r="I183" s="287" t="s">
        <v>240</v>
      </c>
    </row>
    <row r="184" spans="1:11" ht="14.5" x14ac:dyDescent="0.35">
      <c r="A184" s="252" t="s">
        <v>274</v>
      </c>
      <c r="B184" s="395">
        <v>6.3683199999999898E-3</v>
      </c>
      <c r="C184" s="288">
        <f t="shared" si="18"/>
        <v>3.6793861797583056E-5</v>
      </c>
      <c r="D184" s="395"/>
      <c r="E184" s="288">
        <f t="shared" si="19"/>
        <v>0</v>
      </c>
      <c r="F184" s="395"/>
      <c r="G184" s="288">
        <f>(F184/Table223729[[#Totals],[Column6]])*100</f>
        <v>0</v>
      </c>
      <c r="H184" s="288" t="s">
        <v>240</v>
      </c>
      <c r="I184" s="287" t="s">
        <v>240</v>
      </c>
    </row>
    <row r="185" spans="1:11" ht="14.5" x14ac:dyDescent="0.35">
      <c r="A185" s="252" t="s">
        <v>881</v>
      </c>
      <c r="B185" s="395">
        <v>3.7878200000000003E-3</v>
      </c>
      <c r="C185" s="288">
        <f t="shared" si="18"/>
        <v>2.1884661197006634E-5</v>
      </c>
      <c r="D185" s="395"/>
      <c r="E185" s="288">
        <f t="shared" si="19"/>
        <v>0</v>
      </c>
      <c r="F185" s="395"/>
      <c r="G185" s="288">
        <f>(F185/Table223729[[#Totals],[Column6]])*100</f>
        <v>0</v>
      </c>
      <c r="H185" s="288" t="s">
        <v>240</v>
      </c>
      <c r="I185" s="287" t="s">
        <v>240</v>
      </c>
    </row>
    <row r="186" spans="1:11" ht="14.5" x14ac:dyDescent="0.35">
      <c r="A186" s="251" t="s">
        <v>864</v>
      </c>
      <c r="B186" s="396">
        <v>2.2201999999999895E-3</v>
      </c>
      <c r="C186" s="288">
        <f t="shared" si="18"/>
        <v>1.2827516827513951E-5</v>
      </c>
      <c r="D186" s="396"/>
      <c r="E186" s="288">
        <f t="shared" si="19"/>
        <v>0</v>
      </c>
      <c r="F186" s="396"/>
      <c r="G186" s="288">
        <f>(F186/Table223729[[#Totals],[Column6]])*100</f>
        <v>0</v>
      </c>
      <c r="H186" s="288" t="s">
        <v>240</v>
      </c>
      <c r="I186" s="287" t="s">
        <v>240</v>
      </c>
    </row>
    <row r="187" spans="1:11" x14ac:dyDescent="0.25">
      <c r="A187" s="5" t="s">
        <v>217</v>
      </c>
      <c r="B187" s="286">
        <f>SUM(Table223729[Column2])</f>
        <v>17308.104365436076</v>
      </c>
      <c r="C187" s="285">
        <f>SUBTOTAL(109,Table223729[Column3])</f>
        <v>99.999999999999872</v>
      </c>
      <c r="D187" s="285">
        <f>SUM(Table223729[Column4])</f>
        <v>16078.485242719964</v>
      </c>
      <c r="E187" s="285">
        <f>SUBTOTAL(109,Table223729[Column5])</f>
        <v>99.999999999999986</v>
      </c>
      <c r="F187" s="285">
        <f>SUM(Table223729[Column6])</f>
        <v>14412.248196369987</v>
      </c>
      <c r="G187" s="285">
        <f>SUBTOTAL(109,Table223729[Column7])</f>
        <v>99.999999999999858</v>
      </c>
      <c r="H187" s="284">
        <f>((F187/D187)-1)*100</f>
        <v>-10.363146908409282</v>
      </c>
      <c r="I187" s="283">
        <f>((F187/B187)-1)*100</f>
        <v>-16.731215088170227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8F0C2276-94F1-4162-A50B-D17264B16B8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P245"/>
  <sheetViews>
    <sheetView zoomScaleNormal="100" workbookViewId="0">
      <selection activeCell="A6" sqref="A6"/>
    </sheetView>
  </sheetViews>
  <sheetFormatPr defaultColWidth="9.1796875" defaultRowHeight="12.5" x14ac:dyDescent="0.25"/>
  <cols>
    <col min="1" max="1" width="38.1796875" style="20" customWidth="1"/>
    <col min="2" max="2" width="13.453125" style="20" bestFit="1" customWidth="1"/>
    <col min="3" max="3" width="12.453125" style="41" customWidth="1"/>
    <col min="4" max="4" width="13.453125" style="20" bestFit="1" customWidth="1"/>
    <col min="5" max="5" width="12.453125" style="41" customWidth="1"/>
    <col min="6" max="6" width="14.81640625" style="39" customWidth="1"/>
    <col min="7" max="7" width="14.453125" style="39" customWidth="1"/>
    <col min="8" max="8" width="17.453125" style="20" customWidth="1"/>
    <col min="9" max="9" width="16.1796875" style="41" bestFit="1" customWidth="1"/>
    <col min="10" max="11" width="13.54296875" style="41" customWidth="1"/>
    <col min="12" max="12" width="14.81640625" style="41" bestFit="1" customWidth="1"/>
    <col min="13" max="13" width="14.81640625" style="295" customWidth="1"/>
    <col min="14" max="16384" width="9.1796875" style="1"/>
  </cols>
  <sheetData>
    <row r="1" spans="1:16" ht="13" x14ac:dyDescent="0.3">
      <c r="A1" s="11" t="s">
        <v>927</v>
      </c>
      <c r="F1" s="45"/>
      <c r="G1" s="35"/>
      <c r="N1" s="567" t="s">
        <v>239</v>
      </c>
      <c r="O1" s="567"/>
    </row>
    <row r="2" spans="1:16" ht="18.649999999999999" customHeight="1" x14ac:dyDescent="0.25">
      <c r="A2" s="561" t="s">
        <v>729</v>
      </c>
      <c r="B2" s="564">
        <v>45597</v>
      </c>
      <c r="C2" s="564"/>
      <c r="D2" s="565">
        <v>45954</v>
      </c>
      <c r="E2" s="566"/>
      <c r="F2" s="565">
        <v>45962</v>
      </c>
      <c r="G2" s="568"/>
      <c r="H2" s="568"/>
      <c r="I2" s="568"/>
      <c r="J2" s="566"/>
      <c r="K2" s="535" t="s">
        <v>233</v>
      </c>
      <c r="L2" s="535" t="s">
        <v>903</v>
      </c>
      <c r="M2" s="297"/>
    </row>
    <row r="3" spans="1:16" s="10" customFormat="1" ht="27.65" customHeight="1" x14ac:dyDescent="0.25">
      <c r="A3" s="562"/>
      <c r="B3" s="381" t="s">
        <v>902</v>
      </c>
      <c r="C3" s="382" t="s">
        <v>234</v>
      </c>
      <c r="D3" s="381" t="s">
        <v>902</v>
      </c>
      <c r="E3" s="382" t="s">
        <v>234</v>
      </c>
      <c r="F3" s="381" t="s">
        <v>298</v>
      </c>
      <c r="G3" s="381" t="s">
        <v>297</v>
      </c>
      <c r="H3" s="381" t="s">
        <v>926</v>
      </c>
      <c r="I3" s="382" t="s">
        <v>925</v>
      </c>
      <c r="J3" s="383" t="s">
        <v>924</v>
      </c>
      <c r="K3" s="536"/>
      <c r="L3" s="536"/>
      <c r="M3" s="297"/>
    </row>
    <row r="4" spans="1:16" x14ac:dyDescent="0.25">
      <c r="A4" s="58" t="s">
        <v>479</v>
      </c>
      <c r="B4" s="47">
        <v>1515.5115694400001</v>
      </c>
      <c r="C4" s="204">
        <f t="shared" ref="C4:C67" si="0">(B4/$B$245)*100</f>
        <v>12.793189757793497</v>
      </c>
      <c r="D4" s="47">
        <v>2064.0709331000003</v>
      </c>
      <c r="E4" s="204">
        <f t="shared" ref="E4:E67" si="1">(D4/$D$245)*100</f>
        <v>15.642096402601592</v>
      </c>
      <c r="F4" s="47">
        <v>2104.9002070000001</v>
      </c>
      <c r="G4" s="47"/>
      <c r="H4" s="190">
        <f t="shared" ref="H4:H67" si="2">F4+G4</f>
        <v>2104.9002070000001</v>
      </c>
      <c r="I4" s="204">
        <f t="shared" ref="I4:I67" si="3">(F4/$H$245)*100</f>
        <v>21.115821264243127</v>
      </c>
      <c r="J4" s="204">
        <f t="shared" ref="J4:J67" si="4">(G4/$H$245)*100</f>
        <v>0</v>
      </c>
      <c r="K4" s="190">
        <f t="shared" ref="K4:K35" si="5">((H4/D4)-1)*100</f>
        <v>1.9780945143527129</v>
      </c>
      <c r="L4" s="190">
        <f t="shared" ref="L4:L35" si="6">((H4/B4)-1)*100</f>
        <v>38.890408324483204</v>
      </c>
      <c r="M4" s="296"/>
      <c r="O4" s="16"/>
    </row>
    <row r="5" spans="1:16" x14ac:dyDescent="0.25">
      <c r="A5" s="21" t="s">
        <v>691</v>
      </c>
      <c r="B5" s="48">
        <v>2444.2434858699899</v>
      </c>
      <c r="C5" s="203">
        <f t="shared" si="0"/>
        <v>20.633079522144428</v>
      </c>
      <c r="D5" s="48">
        <v>4376.8428605299905</v>
      </c>
      <c r="E5" s="203">
        <f t="shared" si="1"/>
        <v>33.168917242889982</v>
      </c>
      <c r="F5" s="48">
        <v>1980.1807040200001</v>
      </c>
      <c r="G5" s="48"/>
      <c r="H5" s="189">
        <f t="shared" si="2"/>
        <v>1980.1807040200001</v>
      </c>
      <c r="I5" s="203">
        <f t="shared" si="3"/>
        <v>19.864667064945301</v>
      </c>
      <c r="J5" s="203">
        <f t="shared" si="4"/>
        <v>0</v>
      </c>
      <c r="K5" s="189">
        <f t="shared" si="5"/>
        <v>-54.757783929665216</v>
      </c>
      <c r="L5" s="189">
        <f t="shared" si="6"/>
        <v>-18.985947371148004</v>
      </c>
      <c r="M5" s="296"/>
    </row>
    <row r="6" spans="1:16" x14ac:dyDescent="0.25">
      <c r="A6" s="21" t="s">
        <v>604</v>
      </c>
      <c r="B6" s="48">
        <v>1964.9058397599977</v>
      </c>
      <c r="C6" s="203">
        <f t="shared" si="0"/>
        <v>16.586751148019811</v>
      </c>
      <c r="D6" s="48">
        <v>1186.4213979399983</v>
      </c>
      <c r="E6" s="203">
        <f t="shared" si="1"/>
        <v>8.9910271895620433</v>
      </c>
      <c r="F6" s="48">
        <v>908.65125076999959</v>
      </c>
      <c r="G6" s="48">
        <v>319.71997283999895</v>
      </c>
      <c r="H6" s="189">
        <f t="shared" si="2"/>
        <v>1228.3712236099987</v>
      </c>
      <c r="I6" s="203">
        <f t="shared" si="3"/>
        <v>9.115357269186811</v>
      </c>
      <c r="J6" s="203">
        <f t="shared" si="4"/>
        <v>3.2073491078800989</v>
      </c>
      <c r="K6" s="189">
        <f t="shared" si="5"/>
        <v>3.5358284790579786</v>
      </c>
      <c r="L6" s="189">
        <f t="shared" si="6"/>
        <v>-37.484473873819958</v>
      </c>
      <c r="M6" s="296"/>
      <c r="P6" s="14"/>
    </row>
    <row r="7" spans="1:16" x14ac:dyDescent="0.25">
      <c r="A7" s="21" t="s">
        <v>715</v>
      </c>
      <c r="B7" s="48">
        <v>573.90112561999831</v>
      </c>
      <c r="C7" s="203">
        <f t="shared" si="0"/>
        <v>4.8445859143001391</v>
      </c>
      <c r="D7" s="48">
        <v>1136.8492541299991</v>
      </c>
      <c r="E7" s="203">
        <f t="shared" si="1"/>
        <v>8.6153558693932837</v>
      </c>
      <c r="F7" s="48">
        <v>743.12657832999912</v>
      </c>
      <c r="G7" s="48">
        <v>1.30703768999999</v>
      </c>
      <c r="H7" s="189">
        <f t="shared" si="2"/>
        <v>744.43361601999914</v>
      </c>
      <c r="I7" s="203">
        <f t="shared" si="3"/>
        <v>7.4548560319110804</v>
      </c>
      <c r="J7" s="203">
        <f t="shared" si="4"/>
        <v>1.3111868275695888E-2</v>
      </c>
      <c r="K7" s="189">
        <f t="shared" si="5"/>
        <v>-34.517825180815663</v>
      </c>
      <c r="L7" s="189">
        <f t="shared" si="6"/>
        <v>29.714611591982987</v>
      </c>
      <c r="M7" s="296"/>
    </row>
    <row r="8" spans="1:16" x14ac:dyDescent="0.25">
      <c r="A8" s="21" t="s">
        <v>726</v>
      </c>
      <c r="B8" s="48">
        <v>499.71840551000003</v>
      </c>
      <c r="C8" s="203">
        <f t="shared" si="0"/>
        <v>4.218372539058687</v>
      </c>
      <c r="D8" s="48">
        <v>47.690162549999997</v>
      </c>
      <c r="E8" s="203">
        <f t="shared" si="1"/>
        <v>0.36140914931759227</v>
      </c>
      <c r="F8" s="48">
        <v>463.09247098999987</v>
      </c>
      <c r="G8" s="48"/>
      <c r="H8" s="189">
        <f t="shared" si="2"/>
        <v>463.09247098999987</v>
      </c>
      <c r="I8" s="203">
        <f t="shared" si="3"/>
        <v>4.6456253905634837</v>
      </c>
      <c r="J8" s="203">
        <f t="shared" si="4"/>
        <v>0</v>
      </c>
      <c r="K8" s="189">
        <f t="shared" si="5"/>
        <v>871.04401878370174</v>
      </c>
      <c r="L8" s="189">
        <f t="shared" si="6"/>
        <v>-7.3293146932662312</v>
      </c>
      <c r="M8" s="296"/>
      <c r="N8" s="296"/>
      <c r="O8" s="563"/>
      <c r="P8" s="563"/>
    </row>
    <row r="9" spans="1:16" x14ac:dyDescent="0.25">
      <c r="A9" s="21" t="s">
        <v>526</v>
      </c>
      <c r="B9" s="48">
        <v>215.19284819999987</v>
      </c>
      <c r="C9" s="203">
        <f t="shared" si="0"/>
        <v>1.8165502639877023</v>
      </c>
      <c r="D9" s="48">
        <v>123.8815665999999</v>
      </c>
      <c r="E9" s="203">
        <f t="shared" si="1"/>
        <v>0.93880853423588539</v>
      </c>
      <c r="F9" s="48">
        <v>63.170575210000003</v>
      </c>
      <c r="G9" s="48">
        <v>376.42858799999902</v>
      </c>
      <c r="H9" s="189">
        <f t="shared" si="2"/>
        <v>439.59916320999901</v>
      </c>
      <c r="I9" s="203">
        <f t="shared" si="3"/>
        <v>0.63371107611553756</v>
      </c>
      <c r="J9" s="203">
        <f t="shared" si="4"/>
        <v>3.7762354512226981</v>
      </c>
      <c r="K9" s="189">
        <f t="shared" si="5"/>
        <v>254.85437848022769</v>
      </c>
      <c r="L9" s="189">
        <f t="shared" si="6"/>
        <v>104.2814930361609</v>
      </c>
      <c r="M9" s="296"/>
      <c r="N9" s="296"/>
    </row>
    <row r="10" spans="1:16" x14ac:dyDescent="0.25">
      <c r="A10" s="21" t="s">
        <v>964</v>
      </c>
      <c r="B10" s="48">
        <v>398.5901501799986</v>
      </c>
      <c r="C10" s="203">
        <f t="shared" si="0"/>
        <v>3.3646984488045582</v>
      </c>
      <c r="D10" s="48">
        <v>439.30350589999966</v>
      </c>
      <c r="E10" s="203">
        <f t="shared" si="1"/>
        <v>3.3291626169882864</v>
      </c>
      <c r="F10" s="48">
        <v>106.28912070999981</v>
      </c>
      <c r="G10" s="48">
        <v>285.28311893999961</v>
      </c>
      <c r="H10" s="189">
        <f t="shared" si="2"/>
        <v>391.5722396499994</v>
      </c>
      <c r="I10" s="203">
        <f t="shared" si="3"/>
        <v>1.0662653116675371</v>
      </c>
      <c r="J10" s="203">
        <f t="shared" si="4"/>
        <v>2.861887385069199</v>
      </c>
      <c r="K10" s="189">
        <f t="shared" si="5"/>
        <v>-10.86521405109513</v>
      </c>
      <c r="L10" s="189">
        <f t="shared" si="6"/>
        <v>-1.760683380367023</v>
      </c>
      <c r="M10" s="296"/>
      <c r="N10" s="296"/>
    </row>
    <row r="11" spans="1:16" x14ac:dyDescent="0.25">
      <c r="A11" s="21" t="s">
        <v>665</v>
      </c>
      <c r="B11" s="48">
        <v>144.818795289999</v>
      </c>
      <c r="C11" s="203">
        <f t="shared" si="0"/>
        <v>1.2224877500107778</v>
      </c>
      <c r="D11" s="48">
        <v>424.36791169000003</v>
      </c>
      <c r="E11" s="203">
        <f t="shared" si="1"/>
        <v>3.2159765821885635</v>
      </c>
      <c r="F11" s="48"/>
      <c r="G11" s="48">
        <v>368.13993011999997</v>
      </c>
      <c r="H11" s="189">
        <f t="shared" si="2"/>
        <v>368.13993011999997</v>
      </c>
      <c r="I11" s="203">
        <f t="shared" si="3"/>
        <v>0</v>
      </c>
      <c r="J11" s="203">
        <f t="shared" si="4"/>
        <v>3.6930857523759437</v>
      </c>
      <c r="K11" s="189">
        <f t="shared" si="5"/>
        <v>-13.249819324481461</v>
      </c>
      <c r="L11" s="189">
        <f t="shared" si="6"/>
        <v>154.20728668734012</v>
      </c>
      <c r="M11" s="296"/>
      <c r="N11" s="296"/>
    </row>
    <row r="12" spans="1:16" x14ac:dyDescent="0.25">
      <c r="A12" s="21" t="s">
        <v>723</v>
      </c>
      <c r="B12" s="48">
        <v>175.94792911999971</v>
      </c>
      <c r="C12" s="203">
        <f t="shared" si="0"/>
        <v>1.4852643094995999</v>
      </c>
      <c r="D12" s="48">
        <v>227.92851603999875</v>
      </c>
      <c r="E12" s="203">
        <f t="shared" si="1"/>
        <v>1.7273048923008367</v>
      </c>
      <c r="F12" s="48">
        <v>229.06592244999985</v>
      </c>
      <c r="G12" s="48"/>
      <c r="H12" s="189">
        <f t="shared" si="2"/>
        <v>229.06592244999985</v>
      </c>
      <c r="I12" s="203">
        <f t="shared" si="3"/>
        <v>2.2979308283108426</v>
      </c>
      <c r="J12" s="203">
        <f t="shared" si="4"/>
        <v>0</v>
      </c>
      <c r="K12" s="189">
        <f t="shared" si="5"/>
        <v>0.4990189160015035</v>
      </c>
      <c r="L12" s="189">
        <f t="shared" si="6"/>
        <v>30.189609844042376</v>
      </c>
      <c r="M12" s="296"/>
      <c r="N12" s="296"/>
    </row>
    <row r="13" spans="1:16" x14ac:dyDescent="0.25">
      <c r="A13" s="21" t="s">
        <v>693</v>
      </c>
      <c r="B13" s="48">
        <v>107.65674951999998</v>
      </c>
      <c r="C13" s="203">
        <f t="shared" si="0"/>
        <v>0.90878436898078097</v>
      </c>
      <c r="D13" s="48">
        <v>123.23210663</v>
      </c>
      <c r="E13" s="203">
        <f t="shared" si="1"/>
        <v>0.93388674821707274</v>
      </c>
      <c r="F13" s="48">
        <v>150.42039663999998</v>
      </c>
      <c r="G13" s="48">
        <v>26.533235089999977</v>
      </c>
      <c r="H13" s="189">
        <f t="shared" si="2"/>
        <v>176.95363172999996</v>
      </c>
      <c r="I13" s="203">
        <f t="shared" si="3"/>
        <v>1.5089790002319086</v>
      </c>
      <c r="J13" s="203">
        <f t="shared" si="4"/>
        <v>0.26617463757158699</v>
      </c>
      <c r="K13" s="189">
        <f t="shared" si="5"/>
        <v>43.59377322120843</v>
      </c>
      <c r="L13" s="189">
        <f t="shared" si="6"/>
        <v>64.368358248756465</v>
      </c>
      <c r="M13" s="296"/>
      <c r="N13" s="296"/>
    </row>
    <row r="14" spans="1:16" x14ac:dyDescent="0.25">
      <c r="A14" s="21" t="s">
        <v>628</v>
      </c>
      <c r="B14" s="48">
        <v>258.43673077999858</v>
      </c>
      <c r="C14" s="203">
        <f t="shared" si="0"/>
        <v>2.1815934658116829</v>
      </c>
      <c r="D14" s="48">
        <v>207.37012890999989</v>
      </c>
      <c r="E14" s="203">
        <f t="shared" si="1"/>
        <v>1.5715077885227822</v>
      </c>
      <c r="F14" s="48">
        <v>7.0073179999999902E-2</v>
      </c>
      <c r="G14" s="48">
        <v>160.82657366999899</v>
      </c>
      <c r="H14" s="189">
        <f t="shared" si="2"/>
        <v>160.896646849999</v>
      </c>
      <c r="I14" s="203">
        <f t="shared" si="3"/>
        <v>7.0295624437512075E-4</v>
      </c>
      <c r="J14" s="203">
        <f t="shared" si="4"/>
        <v>1.6133711103560779</v>
      </c>
      <c r="K14" s="189">
        <f t="shared" si="5"/>
        <v>-22.410885456010256</v>
      </c>
      <c r="L14" s="189">
        <f t="shared" si="6"/>
        <v>-37.742345538735854</v>
      </c>
      <c r="M14" s="296"/>
      <c r="N14" s="296"/>
    </row>
    <row r="15" spans="1:16" x14ac:dyDescent="0.25">
      <c r="A15" s="21" t="s">
        <v>683</v>
      </c>
      <c r="B15" s="48">
        <v>131.67957398999977</v>
      </c>
      <c r="C15" s="203">
        <f t="shared" si="0"/>
        <v>1.111573023425982</v>
      </c>
      <c r="D15" s="48">
        <v>183.81964468999976</v>
      </c>
      <c r="E15" s="203">
        <f t="shared" si="1"/>
        <v>1.3930357512542151</v>
      </c>
      <c r="F15" s="48">
        <v>121.23935694999983</v>
      </c>
      <c r="G15" s="48"/>
      <c r="H15" s="189">
        <f t="shared" si="2"/>
        <v>121.23935694999983</v>
      </c>
      <c r="I15" s="203">
        <f t="shared" si="3"/>
        <v>1.2162422631886649</v>
      </c>
      <c r="J15" s="203">
        <f t="shared" si="4"/>
        <v>0</v>
      </c>
      <c r="K15" s="189">
        <f t="shared" si="5"/>
        <v>-34.04439598691296</v>
      </c>
      <c r="L15" s="189">
        <f t="shared" si="6"/>
        <v>-7.9285015311431728</v>
      </c>
      <c r="M15" s="296"/>
      <c r="N15" s="296"/>
    </row>
    <row r="16" spans="1:16" x14ac:dyDescent="0.25">
      <c r="A16" s="21" t="s">
        <v>612</v>
      </c>
      <c r="B16" s="48">
        <v>131.58192270999902</v>
      </c>
      <c r="C16" s="203">
        <f t="shared" si="0"/>
        <v>1.1107487002203185</v>
      </c>
      <c r="D16" s="48">
        <v>84.179956609999891</v>
      </c>
      <c r="E16" s="203">
        <f t="shared" si="1"/>
        <v>0.63793883017519493</v>
      </c>
      <c r="F16" s="48">
        <v>0.39995167999999998</v>
      </c>
      <c r="G16" s="48">
        <v>115.40274330999978</v>
      </c>
      <c r="H16" s="189">
        <f t="shared" si="2"/>
        <v>115.80269498999978</v>
      </c>
      <c r="I16" s="203">
        <f t="shared" si="3"/>
        <v>4.0122131021358021E-3</v>
      </c>
      <c r="J16" s="203">
        <f t="shared" si="4"/>
        <v>1.1576908458811723</v>
      </c>
      <c r="K16" s="189">
        <f t="shared" si="5"/>
        <v>37.565638726218296</v>
      </c>
      <c r="L16" s="189">
        <f t="shared" si="6"/>
        <v>-11.991941898262116</v>
      </c>
      <c r="M16" s="296"/>
      <c r="N16" s="296"/>
    </row>
    <row r="17" spans="1:14" x14ac:dyDescent="0.25">
      <c r="A17" s="21" t="s">
        <v>478</v>
      </c>
      <c r="B17" s="48">
        <v>99.540029229999803</v>
      </c>
      <c r="C17" s="203">
        <f t="shared" si="0"/>
        <v>0.84026708084204738</v>
      </c>
      <c r="D17" s="48">
        <v>116.96989664</v>
      </c>
      <c r="E17" s="203">
        <f t="shared" si="1"/>
        <v>0.88643000107428027</v>
      </c>
      <c r="F17" s="48"/>
      <c r="G17" s="48">
        <v>105.08126163</v>
      </c>
      <c r="H17" s="189">
        <f t="shared" si="2"/>
        <v>105.08126163</v>
      </c>
      <c r="I17" s="203">
        <f t="shared" si="3"/>
        <v>0</v>
      </c>
      <c r="J17" s="203">
        <f t="shared" si="4"/>
        <v>1.0541483778761629</v>
      </c>
      <c r="K17" s="189">
        <f t="shared" si="5"/>
        <v>-10.163841596432144</v>
      </c>
      <c r="L17" s="189">
        <f t="shared" si="6"/>
        <v>5.5668382286652607</v>
      </c>
      <c r="M17" s="296"/>
      <c r="N17" s="296"/>
    </row>
    <row r="18" spans="1:14" x14ac:dyDescent="0.25">
      <c r="A18" s="21" t="s">
        <v>494</v>
      </c>
      <c r="B18" s="48">
        <v>70.380459430000002</v>
      </c>
      <c r="C18" s="203">
        <f t="shared" si="0"/>
        <v>0.59411659461061184</v>
      </c>
      <c r="D18" s="48">
        <v>116.60843264999988</v>
      </c>
      <c r="E18" s="203">
        <f t="shared" si="1"/>
        <v>0.88369072768644219</v>
      </c>
      <c r="F18" s="48">
        <v>0.4838710799999999</v>
      </c>
      <c r="G18" s="48">
        <v>102.99797853999991</v>
      </c>
      <c r="H18" s="189">
        <f t="shared" si="2"/>
        <v>103.48184961999991</v>
      </c>
      <c r="I18" s="203">
        <f t="shared" si="3"/>
        <v>4.8540710890890631E-3</v>
      </c>
      <c r="J18" s="203">
        <f t="shared" si="4"/>
        <v>1.033249414008437</v>
      </c>
      <c r="K18" s="189">
        <f t="shared" si="5"/>
        <v>-11.25697578784839</v>
      </c>
      <c r="L18" s="189">
        <f t="shared" si="6"/>
        <v>47.032074610030584</v>
      </c>
      <c r="M18" s="296"/>
      <c r="N18" s="296"/>
    </row>
    <row r="19" spans="1:14" x14ac:dyDescent="0.25">
      <c r="A19" s="21" t="s">
        <v>724</v>
      </c>
      <c r="B19" s="48">
        <v>95.794541499999994</v>
      </c>
      <c r="C19" s="203">
        <f t="shared" si="0"/>
        <v>0.80864954902532848</v>
      </c>
      <c r="D19" s="48">
        <v>86.982069069999994</v>
      </c>
      <c r="E19" s="203">
        <f t="shared" si="1"/>
        <v>0.65917400796262859</v>
      </c>
      <c r="F19" s="48">
        <v>88.168211240000005</v>
      </c>
      <c r="G19" s="48"/>
      <c r="H19" s="189">
        <f t="shared" si="2"/>
        <v>88.168211240000005</v>
      </c>
      <c r="I19" s="203">
        <f t="shared" si="3"/>
        <v>0.88448097612442866</v>
      </c>
      <c r="J19" s="203">
        <f t="shared" si="4"/>
        <v>0</v>
      </c>
      <c r="K19" s="189">
        <f t="shared" si="5"/>
        <v>1.3636628591180644</v>
      </c>
      <c r="L19" s="189">
        <f t="shared" si="6"/>
        <v>-7.9611323782994408</v>
      </c>
      <c r="M19" s="296"/>
      <c r="N19" s="296"/>
    </row>
    <row r="20" spans="1:14" x14ac:dyDescent="0.25">
      <c r="A20" s="21" t="s">
        <v>591</v>
      </c>
      <c r="B20" s="48">
        <v>8.7627437100000005</v>
      </c>
      <c r="C20" s="203">
        <f t="shared" si="0"/>
        <v>7.3970694346045127E-2</v>
      </c>
      <c r="D20" s="48">
        <v>70.670954780000002</v>
      </c>
      <c r="E20" s="203">
        <f t="shared" si="1"/>
        <v>0.53556390422707489</v>
      </c>
      <c r="F20" s="48">
        <v>8.9042899999999883E-2</v>
      </c>
      <c r="G20" s="48">
        <v>74.698875669999893</v>
      </c>
      <c r="H20" s="189">
        <f t="shared" si="2"/>
        <v>74.787918569999889</v>
      </c>
      <c r="I20" s="203">
        <f t="shared" si="3"/>
        <v>8.9325563036056661E-4</v>
      </c>
      <c r="J20" s="203">
        <f t="shared" si="4"/>
        <v>0.7493600418880273</v>
      </c>
      <c r="K20" s="189">
        <f t="shared" si="5"/>
        <v>5.8255386570283063</v>
      </c>
      <c r="L20" s="189">
        <f t="shared" si="6"/>
        <v>753.476046374063</v>
      </c>
      <c r="M20" s="296"/>
      <c r="N20" s="296"/>
    </row>
    <row r="21" spans="1:14" x14ac:dyDescent="0.25">
      <c r="A21" s="21" t="s">
        <v>672</v>
      </c>
      <c r="B21" s="48">
        <v>62.32977349999998</v>
      </c>
      <c r="C21" s="203">
        <f t="shared" si="0"/>
        <v>0.52615673547146591</v>
      </c>
      <c r="D21" s="48">
        <v>115.96296328999979</v>
      </c>
      <c r="E21" s="203">
        <f t="shared" si="1"/>
        <v>0.87879918360617981</v>
      </c>
      <c r="F21" s="48">
        <v>68.317405429999781</v>
      </c>
      <c r="G21" s="48"/>
      <c r="H21" s="189">
        <f t="shared" si="2"/>
        <v>68.317405429999781</v>
      </c>
      <c r="I21" s="203">
        <f t="shared" si="3"/>
        <v>0.68534276233111147</v>
      </c>
      <c r="J21" s="203">
        <f t="shared" si="4"/>
        <v>0</v>
      </c>
      <c r="K21" s="189">
        <f t="shared" si="5"/>
        <v>-41.086875074801391</v>
      </c>
      <c r="L21" s="189">
        <f t="shared" si="6"/>
        <v>9.606375242162235</v>
      </c>
      <c r="M21" s="296"/>
      <c r="N21" s="296"/>
    </row>
    <row r="22" spans="1:14" x14ac:dyDescent="0.25">
      <c r="A22" s="21" t="s">
        <v>535</v>
      </c>
      <c r="B22" s="48">
        <v>2.9944380599999998</v>
      </c>
      <c r="C22" s="203">
        <f t="shared" si="0"/>
        <v>2.5277546600118963E-2</v>
      </c>
      <c r="D22" s="48">
        <v>0.84439925000000005</v>
      </c>
      <c r="E22" s="203">
        <f t="shared" si="1"/>
        <v>6.3990894203172083E-3</v>
      </c>
      <c r="F22" s="48">
        <v>60.856075769999904</v>
      </c>
      <c r="G22" s="48"/>
      <c r="H22" s="189">
        <f t="shared" si="2"/>
        <v>60.856075769999904</v>
      </c>
      <c r="I22" s="203">
        <f t="shared" si="3"/>
        <v>0.61049260887955958</v>
      </c>
      <c r="J22" s="203">
        <f t="shared" si="4"/>
        <v>0</v>
      </c>
      <c r="K22" s="189">
        <f t="shared" si="5"/>
        <v>7107.0262698598908</v>
      </c>
      <c r="L22" s="189">
        <f t="shared" si="6"/>
        <v>1932.3037094312081</v>
      </c>
      <c r="M22" s="296"/>
      <c r="N22" s="296"/>
    </row>
    <row r="23" spans="1:14" x14ac:dyDescent="0.25">
      <c r="A23" s="21" t="s">
        <v>977</v>
      </c>
      <c r="B23" s="48">
        <v>65.392901949999981</v>
      </c>
      <c r="C23" s="203">
        <f t="shared" si="0"/>
        <v>0.55201413194639082</v>
      </c>
      <c r="D23" s="48">
        <v>56.270976499999954</v>
      </c>
      <c r="E23" s="203">
        <f t="shared" si="1"/>
        <v>0.42643691404518413</v>
      </c>
      <c r="F23" s="48">
        <v>58.340690799999877</v>
      </c>
      <c r="G23" s="48"/>
      <c r="H23" s="189">
        <f t="shared" si="2"/>
        <v>58.340690799999877</v>
      </c>
      <c r="I23" s="203">
        <f t="shared" si="3"/>
        <v>0.5852589093147782</v>
      </c>
      <c r="J23" s="203">
        <f t="shared" si="4"/>
        <v>0</v>
      </c>
      <c r="K23" s="189">
        <f t="shared" si="5"/>
        <v>3.678120460553802</v>
      </c>
      <c r="L23" s="189">
        <f t="shared" si="6"/>
        <v>-10.784367935517359</v>
      </c>
      <c r="M23" s="296"/>
      <c r="N23" s="296"/>
    </row>
    <row r="24" spans="1:14" x14ac:dyDescent="0.25">
      <c r="A24" s="21" t="s">
        <v>722</v>
      </c>
      <c r="B24" s="48">
        <v>25.614445479999965</v>
      </c>
      <c r="C24" s="203">
        <f t="shared" si="0"/>
        <v>0.21622432198744684</v>
      </c>
      <c r="D24" s="48">
        <v>61.332606969999944</v>
      </c>
      <c r="E24" s="203">
        <f t="shared" si="1"/>
        <v>0.46479533986109073</v>
      </c>
      <c r="F24" s="48">
        <v>14.116229089999971</v>
      </c>
      <c r="G24" s="48">
        <v>43.227136099999974</v>
      </c>
      <c r="H24" s="189">
        <f t="shared" si="2"/>
        <v>57.343365189999943</v>
      </c>
      <c r="I24" s="203">
        <f t="shared" si="3"/>
        <v>0.14161040480602166</v>
      </c>
      <c r="J24" s="203">
        <f t="shared" si="4"/>
        <v>0.43364358871608549</v>
      </c>
      <c r="K24" s="189">
        <f t="shared" si="5"/>
        <v>-6.504275583705887</v>
      </c>
      <c r="L24" s="189">
        <f t="shared" si="6"/>
        <v>123.87119500507735</v>
      </c>
      <c r="M24" s="296"/>
      <c r="N24" s="296"/>
    </row>
    <row r="25" spans="1:14" x14ac:dyDescent="0.25">
      <c r="A25" s="21" t="s">
        <v>712</v>
      </c>
      <c r="B25" s="48">
        <v>9.52006937999999</v>
      </c>
      <c r="C25" s="203">
        <f t="shared" si="0"/>
        <v>8.0363658411860883E-2</v>
      </c>
      <c r="D25" s="48">
        <v>51.360235590000002</v>
      </c>
      <c r="E25" s="203">
        <f t="shared" si="1"/>
        <v>0.3892219707549105</v>
      </c>
      <c r="F25" s="48">
        <v>49.130079890000005</v>
      </c>
      <c r="G25" s="48">
        <v>1.4355103200000001</v>
      </c>
      <c r="H25" s="189">
        <f t="shared" si="2"/>
        <v>50.565590210000003</v>
      </c>
      <c r="I25" s="203">
        <f t="shared" si="3"/>
        <v>0.49286041314699996</v>
      </c>
      <c r="J25" s="203">
        <f t="shared" si="4"/>
        <v>1.4400672886672608E-2</v>
      </c>
      <c r="K25" s="189">
        <f t="shared" si="5"/>
        <v>-1.547199639704766</v>
      </c>
      <c r="L25" s="189">
        <f t="shared" si="6"/>
        <v>431.14728676483719</v>
      </c>
      <c r="M25" s="296"/>
      <c r="N25" s="296"/>
    </row>
    <row r="26" spans="1:14" x14ac:dyDescent="0.25">
      <c r="A26" s="21" t="s">
        <v>598</v>
      </c>
      <c r="B26" s="48">
        <v>60.641896799999891</v>
      </c>
      <c r="C26" s="203">
        <f t="shared" si="0"/>
        <v>0.51190852559548428</v>
      </c>
      <c r="D26" s="48">
        <v>62.683808589999899</v>
      </c>
      <c r="E26" s="203">
        <f t="shared" si="1"/>
        <v>0.47503511682827443</v>
      </c>
      <c r="F26" s="48">
        <v>50.242646659999991</v>
      </c>
      <c r="G26" s="48"/>
      <c r="H26" s="189">
        <f t="shared" si="2"/>
        <v>50.242646659999991</v>
      </c>
      <c r="I26" s="203">
        <f t="shared" si="3"/>
        <v>0.50402139882305674</v>
      </c>
      <c r="J26" s="203">
        <f t="shared" si="4"/>
        <v>0</v>
      </c>
      <c r="K26" s="189">
        <f t="shared" si="5"/>
        <v>-19.847488864907092</v>
      </c>
      <c r="L26" s="189">
        <f t="shared" si="6"/>
        <v>-17.148622798355341</v>
      </c>
      <c r="M26" s="296"/>
      <c r="N26" s="296"/>
    </row>
    <row r="27" spans="1:14" x14ac:dyDescent="0.25">
      <c r="A27" s="21" t="s">
        <v>670</v>
      </c>
      <c r="B27" s="48">
        <v>67.90497072999996</v>
      </c>
      <c r="C27" s="203">
        <f t="shared" si="0"/>
        <v>0.5732197586372143</v>
      </c>
      <c r="D27" s="48">
        <v>103.21803270999985</v>
      </c>
      <c r="E27" s="203">
        <f t="shared" si="1"/>
        <v>0.78221459943328431</v>
      </c>
      <c r="F27" s="48">
        <v>44.619454339999876</v>
      </c>
      <c r="G27" s="48">
        <v>3.9675763000000002</v>
      </c>
      <c r="H27" s="189">
        <f t="shared" si="2"/>
        <v>48.587030639999874</v>
      </c>
      <c r="I27" s="203">
        <f t="shared" si="3"/>
        <v>0.44761096968788255</v>
      </c>
      <c r="J27" s="203">
        <f t="shared" si="4"/>
        <v>3.9801712083278387E-2</v>
      </c>
      <c r="K27" s="189">
        <f t="shared" si="5"/>
        <v>-52.927769146201989</v>
      </c>
      <c r="L27" s="189">
        <f t="shared" si="6"/>
        <v>-28.448491888481954</v>
      </c>
      <c r="M27" s="296"/>
      <c r="N27" s="296"/>
    </row>
    <row r="28" spans="1:14" x14ac:dyDescent="0.25">
      <c r="A28" s="21" t="s">
        <v>565</v>
      </c>
      <c r="B28" s="48">
        <v>61.176715129999977</v>
      </c>
      <c r="C28" s="203">
        <f t="shared" si="0"/>
        <v>0.51642319412036097</v>
      </c>
      <c r="D28" s="48">
        <v>8.2970351299999763</v>
      </c>
      <c r="E28" s="203">
        <f t="shared" si="1"/>
        <v>6.2877210893286628E-2</v>
      </c>
      <c r="F28" s="48">
        <v>10.396135739999988</v>
      </c>
      <c r="G28" s="48">
        <v>37.909337569999998</v>
      </c>
      <c r="H28" s="189">
        <f t="shared" si="2"/>
        <v>48.305473309999982</v>
      </c>
      <c r="I28" s="203">
        <f t="shared" si="3"/>
        <v>0.10429137846754448</v>
      </c>
      <c r="J28" s="203">
        <f t="shared" si="4"/>
        <v>0.38029679208159101</v>
      </c>
      <c r="K28" s="189">
        <f t="shared" si="5"/>
        <v>482.20162447353789</v>
      </c>
      <c r="L28" s="189">
        <f t="shared" si="6"/>
        <v>-21.039445796736089</v>
      </c>
      <c r="M28" s="296"/>
      <c r="N28" s="296"/>
    </row>
    <row r="29" spans="1:14" x14ac:dyDescent="0.25">
      <c r="A29" s="21" t="s">
        <v>694</v>
      </c>
      <c r="B29" s="48">
        <v>58.483044679999793</v>
      </c>
      <c r="C29" s="203">
        <f t="shared" si="0"/>
        <v>0.49368457707070895</v>
      </c>
      <c r="D29" s="48">
        <v>38.071199899999897</v>
      </c>
      <c r="E29" s="203">
        <f t="shared" si="1"/>
        <v>0.28851400862669041</v>
      </c>
      <c r="F29" s="48">
        <v>44.690224530000002</v>
      </c>
      <c r="G29" s="48"/>
      <c r="H29" s="189">
        <f t="shared" si="2"/>
        <v>44.690224530000002</v>
      </c>
      <c r="I29" s="203">
        <f t="shared" si="3"/>
        <v>0.44832091815855568</v>
      </c>
      <c r="J29" s="203">
        <f t="shared" si="4"/>
        <v>0</v>
      </c>
      <c r="K29" s="189">
        <f t="shared" si="5"/>
        <v>17.385910208730039</v>
      </c>
      <c r="L29" s="189">
        <f t="shared" si="6"/>
        <v>-23.584305888090505</v>
      </c>
      <c r="M29" s="296"/>
      <c r="N29" s="296"/>
    </row>
    <row r="30" spans="1:14" x14ac:dyDescent="0.25">
      <c r="A30" s="21" t="s">
        <v>727</v>
      </c>
      <c r="B30" s="48">
        <v>17.359741519999908</v>
      </c>
      <c r="C30" s="203">
        <f t="shared" si="0"/>
        <v>0.14654224480362693</v>
      </c>
      <c r="D30" s="48">
        <v>28.388028499999997</v>
      </c>
      <c r="E30" s="203">
        <f t="shared" si="1"/>
        <v>0.2151322763941505</v>
      </c>
      <c r="F30" s="48">
        <v>37.195081359999904</v>
      </c>
      <c r="G30" s="48">
        <v>4.0585889999999895E-2</v>
      </c>
      <c r="H30" s="189">
        <f t="shared" si="2"/>
        <v>37.235667249999906</v>
      </c>
      <c r="I30" s="203">
        <f t="shared" si="3"/>
        <v>0.37313155621098726</v>
      </c>
      <c r="J30" s="203">
        <f t="shared" si="4"/>
        <v>4.0714728244132397E-4</v>
      </c>
      <c r="K30" s="189">
        <f t="shared" si="5"/>
        <v>31.166795362347589</v>
      </c>
      <c r="L30" s="189">
        <f t="shared" si="6"/>
        <v>114.49436448751977</v>
      </c>
      <c r="M30" s="296"/>
      <c r="N30" s="296"/>
    </row>
    <row r="31" spans="1:14" x14ac:dyDescent="0.25">
      <c r="A31" s="21" t="s">
        <v>968</v>
      </c>
      <c r="B31" s="48">
        <v>30.26875265999999</v>
      </c>
      <c r="C31" s="203">
        <f t="shared" si="0"/>
        <v>0.25551365249833369</v>
      </c>
      <c r="D31" s="48">
        <v>43.525959389999883</v>
      </c>
      <c r="E31" s="203">
        <f t="shared" si="1"/>
        <v>0.3298516741241832</v>
      </c>
      <c r="F31" s="48">
        <v>5.5627850000000006E-2</v>
      </c>
      <c r="G31" s="48">
        <v>33.951228679999993</v>
      </c>
      <c r="H31" s="189">
        <f t="shared" si="2"/>
        <v>34.006856529999993</v>
      </c>
      <c r="I31" s="203">
        <f t="shared" si="3"/>
        <v>5.5804438329561492E-4</v>
      </c>
      <c r="J31" s="203">
        <f t="shared" si="4"/>
        <v>0.34059005463736219</v>
      </c>
      <c r="K31" s="189">
        <f t="shared" si="5"/>
        <v>-21.869943806883462</v>
      </c>
      <c r="L31" s="189">
        <f t="shared" si="6"/>
        <v>12.349712298980497</v>
      </c>
      <c r="M31" s="296"/>
      <c r="N31" s="296"/>
    </row>
    <row r="32" spans="1:14" x14ac:dyDescent="0.25">
      <c r="A32" s="21" t="s">
        <v>521</v>
      </c>
      <c r="B32" s="48">
        <v>131.41855873</v>
      </c>
      <c r="C32" s="203">
        <f t="shared" si="0"/>
        <v>1.1093696633077279</v>
      </c>
      <c r="D32" s="48">
        <v>35.122663159999981</v>
      </c>
      <c r="E32" s="203">
        <f t="shared" si="1"/>
        <v>0.2661691874317994</v>
      </c>
      <c r="F32" s="48">
        <v>12.51612344000001</v>
      </c>
      <c r="G32" s="48">
        <v>19.847509969999997</v>
      </c>
      <c r="H32" s="189">
        <f t="shared" si="2"/>
        <v>32.363633410000006</v>
      </c>
      <c r="I32" s="203">
        <f t="shared" si="3"/>
        <v>0.12555855360806853</v>
      </c>
      <c r="J32" s="203">
        <f t="shared" si="4"/>
        <v>0.19910515076822519</v>
      </c>
      <c r="K32" s="189">
        <f t="shared" si="5"/>
        <v>-7.8554115826334652</v>
      </c>
      <c r="L32" s="189">
        <f t="shared" si="6"/>
        <v>-75.373620192798469</v>
      </c>
      <c r="M32" s="296"/>
      <c r="N32" s="296"/>
    </row>
    <row r="33" spans="1:14" x14ac:dyDescent="0.25">
      <c r="A33" s="21" t="s">
        <v>570</v>
      </c>
      <c r="B33" s="48">
        <v>8.2946117899999994</v>
      </c>
      <c r="C33" s="203">
        <f t="shared" si="0"/>
        <v>7.001895910033322E-2</v>
      </c>
      <c r="D33" s="48">
        <v>8.4449936099999867</v>
      </c>
      <c r="E33" s="203">
        <f t="shared" si="1"/>
        <v>6.3998480889694467E-2</v>
      </c>
      <c r="F33" s="48">
        <v>7.4849698599999988</v>
      </c>
      <c r="G33" s="48">
        <v>24.463122959999897</v>
      </c>
      <c r="H33" s="189">
        <f t="shared" si="2"/>
        <v>31.948092819999896</v>
      </c>
      <c r="I33" s="203">
        <f t="shared" si="3"/>
        <v>7.5087305900011669E-2</v>
      </c>
      <c r="J33" s="203">
        <f t="shared" si="4"/>
        <v>0.2454078014105873</v>
      </c>
      <c r="K33" s="189">
        <f t="shared" si="5"/>
        <v>278.30807571208982</v>
      </c>
      <c r="L33" s="189">
        <f t="shared" si="6"/>
        <v>285.16682430534701</v>
      </c>
      <c r="M33" s="296"/>
      <c r="N33" s="296"/>
    </row>
    <row r="34" spans="1:14" x14ac:dyDescent="0.25">
      <c r="A34" s="21" t="s">
        <v>663</v>
      </c>
      <c r="B34" s="48">
        <v>28.977991769999878</v>
      </c>
      <c r="C34" s="203">
        <f t="shared" si="0"/>
        <v>0.24461769542965126</v>
      </c>
      <c r="D34" s="48">
        <v>39.662958139999972</v>
      </c>
      <c r="E34" s="203">
        <f t="shared" si="1"/>
        <v>0.30057678972613738</v>
      </c>
      <c r="F34" s="48">
        <v>31.57461065999998</v>
      </c>
      <c r="G34" s="48"/>
      <c r="H34" s="189">
        <f t="shared" si="2"/>
        <v>31.57461065999998</v>
      </c>
      <c r="I34" s="203">
        <f t="shared" si="3"/>
        <v>0.3167484296725262</v>
      </c>
      <c r="J34" s="203">
        <f t="shared" si="4"/>
        <v>0</v>
      </c>
      <c r="K34" s="189">
        <f t="shared" si="5"/>
        <v>-20.392698526040899</v>
      </c>
      <c r="L34" s="189">
        <f t="shared" si="6"/>
        <v>8.9606585253030104</v>
      </c>
      <c r="M34" s="296"/>
      <c r="N34" s="296"/>
    </row>
    <row r="35" spans="1:14" x14ac:dyDescent="0.25">
      <c r="A35" s="21" t="s">
        <v>695</v>
      </c>
      <c r="B35" s="48">
        <v>9.993374999999979</v>
      </c>
      <c r="C35" s="203">
        <f t="shared" si="0"/>
        <v>8.4359067442177554E-2</v>
      </c>
      <c r="D35" s="48">
        <v>28.893752869999968</v>
      </c>
      <c r="E35" s="203">
        <f t="shared" si="1"/>
        <v>0.21896479456095772</v>
      </c>
      <c r="F35" s="48">
        <v>29.847920719999955</v>
      </c>
      <c r="G35" s="48"/>
      <c r="H35" s="189">
        <f t="shared" si="2"/>
        <v>29.847920719999955</v>
      </c>
      <c r="I35" s="203">
        <f t="shared" si="3"/>
        <v>0.29942671720817504</v>
      </c>
      <c r="J35" s="203">
        <f t="shared" si="4"/>
        <v>0</v>
      </c>
      <c r="K35" s="189">
        <f t="shared" si="5"/>
        <v>3.3023327024807703</v>
      </c>
      <c r="L35" s="189">
        <f t="shared" si="6"/>
        <v>198.67708076600766</v>
      </c>
      <c r="M35" s="296"/>
      <c r="N35" s="296"/>
    </row>
    <row r="36" spans="1:14" x14ac:dyDescent="0.25">
      <c r="A36" s="21" t="s">
        <v>705</v>
      </c>
      <c r="B36" s="48">
        <v>28.312600559999993</v>
      </c>
      <c r="C36" s="203">
        <f t="shared" si="0"/>
        <v>0.23900079603782287</v>
      </c>
      <c r="D36" s="48">
        <v>21.870803859999992</v>
      </c>
      <c r="E36" s="203">
        <f t="shared" si="1"/>
        <v>0.16574295819703619</v>
      </c>
      <c r="F36" s="48">
        <v>11.119321879999999</v>
      </c>
      <c r="G36" s="48">
        <v>17.401900359999996</v>
      </c>
      <c r="H36" s="189">
        <f t="shared" si="2"/>
        <v>28.521222239999993</v>
      </c>
      <c r="I36" s="203">
        <f t="shared" si="3"/>
        <v>0.11154619711511476</v>
      </c>
      <c r="J36" s="203">
        <f t="shared" si="4"/>
        <v>0.17457141979364538</v>
      </c>
      <c r="K36" s="189">
        <f t="shared" ref="K36:K67" si="7">((H36/D36)-1)*100</f>
        <v>30.407745515760865</v>
      </c>
      <c r="L36" s="189">
        <f t="shared" ref="L36:L67" si="8">((H36/B36)-1)*100</f>
        <v>0.73685099875544502</v>
      </c>
      <c r="M36" s="296"/>
      <c r="N36" s="296"/>
    </row>
    <row r="37" spans="1:14" x14ac:dyDescent="0.25">
      <c r="A37" s="21" t="s">
        <v>504</v>
      </c>
      <c r="B37" s="48">
        <v>35.927982489999984</v>
      </c>
      <c r="C37" s="203">
        <f t="shared" si="0"/>
        <v>0.30328603679290422</v>
      </c>
      <c r="D37" s="48">
        <v>25.211791109999982</v>
      </c>
      <c r="E37" s="203">
        <f t="shared" si="1"/>
        <v>0.19106187713838962</v>
      </c>
      <c r="F37" s="48">
        <v>0.64137199999999994</v>
      </c>
      <c r="G37" s="48">
        <v>22.714854939999899</v>
      </c>
      <c r="H37" s="189">
        <f t="shared" si="2"/>
        <v>23.3562269399999</v>
      </c>
      <c r="I37" s="203">
        <f t="shared" si="3"/>
        <v>6.43408009123263E-3</v>
      </c>
      <c r="J37" s="203">
        <f t="shared" si="4"/>
        <v>0.227869623158932</v>
      </c>
      <c r="K37" s="189">
        <f t="shared" si="7"/>
        <v>-7.3599061720929999</v>
      </c>
      <c r="L37" s="189">
        <f t="shared" si="8"/>
        <v>-34.991543300543647</v>
      </c>
      <c r="M37" s="296"/>
      <c r="N37" s="296"/>
    </row>
    <row r="38" spans="1:14" x14ac:dyDescent="0.25">
      <c r="A38" s="21" t="s">
        <v>668</v>
      </c>
      <c r="B38" s="48">
        <v>24.411808749999899</v>
      </c>
      <c r="C38" s="203">
        <f t="shared" si="0"/>
        <v>0.20607226494820677</v>
      </c>
      <c r="D38" s="48">
        <v>33.705308789999997</v>
      </c>
      <c r="E38" s="203">
        <f t="shared" si="1"/>
        <v>0.2554280867570804</v>
      </c>
      <c r="F38" s="48">
        <v>20.620972839999887</v>
      </c>
      <c r="G38" s="48"/>
      <c r="H38" s="189">
        <f t="shared" si="2"/>
        <v>20.620972839999887</v>
      </c>
      <c r="I38" s="203">
        <f t="shared" si="3"/>
        <v>0.20686433272997901</v>
      </c>
      <c r="J38" s="203">
        <f t="shared" si="4"/>
        <v>0</v>
      </c>
      <c r="K38" s="189">
        <f t="shared" si="7"/>
        <v>-38.819807382634309</v>
      </c>
      <c r="L38" s="189">
        <f t="shared" si="8"/>
        <v>-15.528697397320169</v>
      </c>
      <c r="M38" s="296"/>
      <c r="N38" s="296"/>
    </row>
    <row r="39" spans="1:14" x14ac:dyDescent="0.25">
      <c r="A39" s="21" t="s">
        <v>495</v>
      </c>
      <c r="B39" s="48">
        <v>18.299146739999962</v>
      </c>
      <c r="C39" s="203">
        <f t="shared" si="0"/>
        <v>0.15447223325192574</v>
      </c>
      <c r="D39" s="48">
        <v>18.463829009999984</v>
      </c>
      <c r="E39" s="203">
        <f t="shared" si="1"/>
        <v>0.13992396710020391</v>
      </c>
      <c r="F39" s="48">
        <v>20.409236309999994</v>
      </c>
      <c r="G39" s="48">
        <v>7.6587749999999968E-2</v>
      </c>
      <c r="H39" s="189">
        <f t="shared" si="2"/>
        <v>20.485824059999995</v>
      </c>
      <c r="I39" s="203">
        <f t="shared" si="3"/>
        <v>0.20474024594062898</v>
      </c>
      <c r="J39" s="203">
        <f t="shared" si="4"/>
        <v>7.6830874672935781E-4</v>
      </c>
      <c r="K39" s="189">
        <f t="shared" si="7"/>
        <v>10.951114467670298</v>
      </c>
      <c r="L39" s="189">
        <f t="shared" si="8"/>
        <v>11.949613558867167</v>
      </c>
      <c r="M39" s="296"/>
      <c r="N39" s="296"/>
    </row>
    <row r="40" spans="1:14" x14ac:dyDescent="0.25">
      <c r="A40" s="21" t="s">
        <v>614</v>
      </c>
      <c r="B40" s="48">
        <v>16.361987969999987</v>
      </c>
      <c r="C40" s="203">
        <f t="shared" si="0"/>
        <v>0.138119708972127</v>
      </c>
      <c r="D40" s="48">
        <v>20.68650920999999</v>
      </c>
      <c r="E40" s="203">
        <f t="shared" si="1"/>
        <v>0.15676804808744849</v>
      </c>
      <c r="F40" s="48">
        <v>17.588608399999988</v>
      </c>
      <c r="G40" s="48"/>
      <c r="H40" s="189">
        <f t="shared" si="2"/>
        <v>17.588608399999988</v>
      </c>
      <c r="I40" s="203">
        <f t="shared" si="3"/>
        <v>0.17644442716384087</v>
      </c>
      <c r="J40" s="203">
        <f t="shared" si="4"/>
        <v>0</v>
      </c>
      <c r="K40" s="189">
        <f t="shared" si="7"/>
        <v>-14.975464340317302</v>
      </c>
      <c r="L40" s="189">
        <f t="shared" si="8"/>
        <v>7.4967689271562277</v>
      </c>
      <c r="M40" s="296"/>
      <c r="N40" s="296"/>
    </row>
    <row r="41" spans="1:14" x14ac:dyDescent="0.25">
      <c r="A41" s="21" t="s">
        <v>576</v>
      </c>
      <c r="B41" s="48">
        <v>2.8823074799999993</v>
      </c>
      <c r="C41" s="203">
        <f t="shared" si="0"/>
        <v>2.4330996394552721E-2</v>
      </c>
      <c r="D41" s="48">
        <v>6.915899729999996</v>
      </c>
      <c r="E41" s="203">
        <f t="shared" si="1"/>
        <v>5.2410587520320059E-2</v>
      </c>
      <c r="F41" s="48">
        <v>1.6709774499999985</v>
      </c>
      <c r="G41" s="48">
        <v>12.35675794999999</v>
      </c>
      <c r="H41" s="189">
        <f t="shared" si="2"/>
        <v>14.027735399999989</v>
      </c>
      <c r="I41" s="203">
        <f t="shared" si="3"/>
        <v>1.6762818994193168E-2</v>
      </c>
      <c r="J41" s="203">
        <f t="shared" si="4"/>
        <v>0.12395983971591443</v>
      </c>
      <c r="K41" s="189">
        <f t="shared" si="7"/>
        <v>102.83312291457985</v>
      </c>
      <c r="L41" s="189">
        <f t="shared" si="8"/>
        <v>386.68421038826818</v>
      </c>
      <c r="M41" s="296"/>
      <c r="N41" s="296"/>
    </row>
    <row r="42" spans="1:14" x14ac:dyDescent="0.25">
      <c r="A42" s="21" t="s">
        <v>540</v>
      </c>
      <c r="B42" s="48">
        <v>43.990242779999896</v>
      </c>
      <c r="C42" s="203">
        <f t="shared" si="0"/>
        <v>0.37134360088316343</v>
      </c>
      <c r="D42" s="48">
        <v>21.8914861999999</v>
      </c>
      <c r="E42" s="203">
        <f t="shared" si="1"/>
        <v>0.16589969464970455</v>
      </c>
      <c r="F42" s="48">
        <v>1.7420406800000001</v>
      </c>
      <c r="G42" s="48">
        <v>12.209270919999991</v>
      </c>
      <c r="H42" s="189">
        <f t="shared" si="2"/>
        <v>13.951311599999991</v>
      </c>
      <c r="I42" s="203">
        <f t="shared" si="3"/>
        <v>1.7475707167299716E-2</v>
      </c>
      <c r="J42" s="203">
        <f t="shared" si="4"/>
        <v>0.12248028750060411</v>
      </c>
      <c r="K42" s="189">
        <f t="shared" si="7"/>
        <v>-36.270605510556628</v>
      </c>
      <c r="L42" s="189">
        <f t="shared" si="8"/>
        <v>-68.285440774282478</v>
      </c>
      <c r="M42" s="296"/>
      <c r="N42" s="296"/>
    </row>
    <row r="43" spans="1:14" x14ac:dyDescent="0.25">
      <c r="A43" s="21" t="s">
        <v>481</v>
      </c>
      <c r="B43" s="48">
        <v>12.171251759999995</v>
      </c>
      <c r="C43" s="203">
        <f t="shared" si="0"/>
        <v>0.10274361245100519</v>
      </c>
      <c r="D43" s="48">
        <v>16.280809159999976</v>
      </c>
      <c r="E43" s="203">
        <f t="shared" si="1"/>
        <v>0.12338044313748424</v>
      </c>
      <c r="F43" s="48">
        <v>13.061103999999958</v>
      </c>
      <c r="G43" s="48"/>
      <c r="H43" s="189">
        <f t="shared" si="2"/>
        <v>13.061103999999958</v>
      </c>
      <c r="I43" s="203">
        <f t="shared" si="3"/>
        <v>0.13102565939255004</v>
      </c>
      <c r="J43" s="203">
        <f t="shared" si="4"/>
        <v>0</v>
      </c>
      <c r="K43" s="189">
        <f t="shared" si="7"/>
        <v>-19.776075797942848</v>
      </c>
      <c r="L43" s="189">
        <f t="shared" si="8"/>
        <v>7.3110987887408774</v>
      </c>
      <c r="M43" s="296"/>
      <c r="N43" s="296"/>
    </row>
    <row r="44" spans="1:14" x14ac:dyDescent="0.25">
      <c r="A44" s="21" t="s">
        <v>492</v>
      </c>
      <c r="B44" s="48">
        <v>3.9422190399999995</v>
      </c>
      <c r="C44" s="203">
        <f t="shared" si="0"/>
        <v>3.3278239020070509E-2</v>
      </c>
      <c r="D44" s="48">
        <v>15.557981420000001</v>
      </c>
      <c r="E44" s="203">
        <f t="shared" si="1"/>
        <v>0.11790265600805981</v>
      </c>
      <c r="F44" s="48">
        <v>12.859582549999987</v>
      </c>
      <c r="G44" s="48"/>
      <c r="H44" s="189">
        <f t="shared" si="2"/>
        <v>12.859582549999987</v>
      </c>
      <c r="I44" s="203">
        <f t="shared" si="3"/>
        <v>0.12900404767672655</v>
      </c>
      <c r="J44" s="203">
        <f t="shared" si="4"/>
        <v>0</v>
      </c>
      <c r="K44" s="189">
        <f t="shared" si="7"/>
        <v>-17.344145086400374</v>
      </c>
      <c r="L44" s="189">
        <f t="shared" si="8"/>
        <v>226.20162450435498</v>
      </c>
      <c r="M44" s="296"/>
      <c r="N44" s="296"/>
    </row>
    <row r="45" spans="1:14" x14ac:dyDescent="0.25">
      <c r="A45" s="21" t="s">
        <v>629</v>
      </c>
      <c r="B45" s="48">
        <v>0.96184943999999861</v>
      </c>
      <c r="C45" s="203">
        <f t="shared" si="0"/>
        <v>8.1194513143138091E-3</v>
      </c>
      <c r="D45" s="48">
        <v>0.85556961999999992</v>
      </c>
      <c r="E45" s="203">
        <f t="shared" si="1"/>
        <v>6.4837415519812622E-3</v>
      </c>
      <c r="F45" s="48">
        <v>0.4064508899999999</v>
      </c>
      <c r="G45" s="48">
        <v>9.1999611199999887</v>
      </c>
      <c r="H45" s="189">
        <f t="shared" si="2"/>
        <v>9.606412009999989</v>
      </c>
      <c r="I45" s="203">
        <f t="shared" si="3"/>
        <v>4.0774115168931346E-3</v>
      </c>
      <c r="J45" s="203">
        <f t="shared" si="4"/>
        <v>9.2291660194561323E-2</v>
      </c>
      <c r="K45" s="189">
        <f t="shared" si="7"/>
        <v>1022.8089199801168</v>
      </c>
      <c r="L45" s="189">
        <f t="shared" si="8"/>
        <v>898.74383770499492</v>
      </c>
      <c r="M45" s="296"/>
      <c r="N45" s="296"/>
    </row>
    <row r="46" spans="1:14" x14ac:dyDescent="0.25">
      <c r="A46" s="21" t="s">
        <v>482</v>
      </c>
      <c r="B46" s="48">
        <v>6.4070612999999881</v>
      </c>
      <c r="C46" s="203">
        <f t="shared" si="0"/>
        <v>5.4085203078325983E-2</v>
      </c>
      <c r="D46" s="48">
        <v>7.7703333999999877</v>
      </c>
      <c r="E46" s="203">
        <f t="shared" si="1"/>
        <v>5.8885720531226621E-2</v>
      </c>
      <c r="F46" s="48">
        <v>9.500699280000001</v>
      </c>
      <c r="G46" s="48">
        <v>3.7363169999999904E-2</v>
      </c>
      <c r="H46" s="189">
        <f t="shared" si="2"/>
        <v>9.5380624500000017</v>
      </c>
      <c r="I46" s="203">
        <f t="shared" si="3"/>
        <v>9.5308588604173863E-2</v>
      </c>
      <c r="J46" s="203">
        <f t="shared" si="4"/>
        <v>3.7481777851596215E-4</v>
      </c>
      <c r="K46" s="189">
        <f t="shared" si="7"/>
        <v>22.749719465062036</v>
      </c>
      <c r="L46" s="189">
        <f t="shared" si="8"/>
        <v>48.867975556906565</v>
      </c>
      <c r="M46" s="296"/>
      <c r="N46" s="296"/>
    </row>
    <row r="47" spans="1:14" x14ac:dyDescent="0.25">
      <c r="A47" s="21" t="s">
        <v>489</v>
      </c>
      <c r="B47" s="48">
        <v>9.6308621699999879</v>
      </c>
      <c r="C47" s="203">
        <f t="shared" si="0"/>
        <v>8.1298915664162211E-2</v>
      </c>
      <c r="D47" s="48">
        <v>9.908838259999996</v>
      </c>
      <c r="E47" s="203">
        <f t="shared" si="1"/>
        <v>7.5091897674234492E-2</v>
      </c>
      <c r="F47" s="48">
        <v>8.780331529999998</v>
      </c>
      <c r="G47" s="48"/>
      <c r="H47" s="189">
        <f t="shared" si="2"/>
        <v>8.780331529999998</v>
      </c>
      <c r="I47" s="203">
        <f t="shared" si="3"/>
        <v>8.8082043325238904E-2</v>
      </c>
      <c r="J47" s="203">
        <f t="shared" si="4"/>
        <v>0</v>
      </c>
      <c r="K47" s="189">
        <f t="shared" si="7"/>
        <v>-11.388890406613605</v>
      </c>
      <c r="L47" s="189">
        <f t="shared" si="8"/>
        <v>-8.8313032103125906</v>
      </c>
      <c r="M47" s="296"/>
      <c r="N47" s="296"/>
    </row>
    <row r="48" spans="1:14" x14ac:dyDescent="0.25">
      <c r="A48" s="21" t="s">
        <v>973</v>
      </c>
      <c r="B48" s="48">
        <v>7.4677782500000012</v>
      </c>
      <c r="C48" s="203">
        <f t="shared" si="0"/>
        <v>6.3039244402914738E-2</v>
      </c>
      <c r="D48" s="48">
        <v>12.558112170000001</v>
      </c>
      <c r="E48" s="203">
        <f t="shared" si="1"/>
        <v>9.5168822954548801E-2</v>
      </c>
      <c r="F48" s="48">
        <v>8.2808522600000014</v>
      </c>
      <c r="G48" s="48"/>
      <c r="H48" s="189">
        <f t="shared" si="2"/>
        <v>8.2808522600000014</v>
      </c>
      <c r="I48" s="203">
        <f t="shared" si="3"/>
        <v>8.3071394860556355E-2</v>
      </c>
      <c r="J48" s="203">
        <f t="shared" si="4"/>
        <v>0</v>
      </c>
      <c r="K48" s="189">
        <f t="shared" si="7"/>
        <v>-34.059736464354252</v>
      </c>
      <c r="L48" s="189">
        <f t="shared" si="8"/>
        <v>10.88776317106095</v>
      </c>
      <c r="M48" s="296"/>
      <c r="N48" s="296"/>
    </row>
    <row r="49" spans="1:14" x14ac:dyDescent="0.25">
      <c r="A49" s="21" t="s">
        <v>498</v>
      </c>
      <c r="B49" s="48">
        <v>10.469391659999998</v>
      </c>
      <c r="C49" s="203">
        <f t="shared" si="0"/>
        <v>8.8377361714587196E-2</v>
      </c>
      <c r="D49" s="48">
        <v>8.9868746899999934</v>
      </c>
      <c r="E49" s="203">
        <f t="shared" si="1"/>
        <v>6.8105004534875474E-2</v>
      </c>
      <c r="F49" s="48">
        <v>6.7023288899999969</v>
      </c>
      <c r="G49" s="48">
        <v>0.73053919999999861</v>
      </c>
      <c r="H49" s="189">
        <f t="shared" si="2"/>
        <v>7.4328680899999959</v>
      </c>
      <c r="I49" s="203">
        <f t="shared" si="3"/>
        <v>6.7236051583234507E-2</v>
      </c>
      <c r="J49" s="203">
        <f t="shared" si="4"/>
        <v>7.3285826674457325E-3</v>
      </c>
      <c r="K49" s="189">
        <f t="shared" si="7"/>
        <v>-17.291958034412058</v>
      </c>
      <c r="L49" s="189">
        <f t="shared" si="8"/>
        <v>-29.003820552454162</v>
      </c>
      <c r="M49" s="296"/>
      <c r="N49" s="296"/>
    </row>
    <row r="50" spans="1:14" x14ac:dyDescent="0.25">
      <c r="A50" s="21" t="s">
        <v>637</v>
      </c>
      <c r="B50" s="48">
        <v>2.7751700000000001E-2</v>
      </c>
      <c r="C50" s="203">
        <f t="shared" si="0"/>
        <v>2.3426595438829059E-4</v>
      </c>
      <c r="D50" s="48">
        <v>1.067E-3</v>
      </c>
      <c r="E50" s="203">
        <f t="shared" si="1"/>
        <v>8.0860190383618431E-6</v>
      </c>
      <c r="F50" s="48">
        <v>3.3221570000000006E-2</v>
      </c>
      <c r="G50" s="48">
        <v>7.2935789499999899</v>
      </c>
      <c r="H50" s="189">
        <f t="shared" si="2"/>
        <v>7.3268005199999902</v>
      </c>
      <c r="I50" s="203">
        <f t="shared" si="3"/>
        <v>3.3327030512166306E-4</v>
      </c>
      <c r="J50" s="203">
        <f t="shared" si="4"/>
        <v>7.3167321174027453E-2</v>
      </c>
      <c r="K50" s="189">
        <f t="shared" si="7"/>
        <v>686572.96344892133</v>
      </c>
      <c r="L50" s="189">
        <f t="shared" si="8"/>
        <v>26301.267381818012</v>
      </c>
      <c r="M50" s="296"/>
      <c r="N50" s="296"/>
    </row>
    <row r="51" spans="1:14" x14ac:dyDescent="0.25">
      <c r="A51" s="21" t="s">
        <v>490</v>
      </c>
      <c r="B51" s="48">
        <v>86.368457859999793</v>
      </c>
      <c r="C51" s="203">
        <f t="shared" si="0"/>
        <v>0.72907927116600824</v>
      </c>
      <c r="D51" s="48">
        <v>5.8677657099999747</v>
      </c>
      <c r="E51" s="203">
        <f t="shared" si="1"/>
        <v>4.4467540059706274E-2</v>
      </c>
      <c r="F51" s="48">
        <v>2.5459107499999978</v>
      </c>
      <c r="G51" s="48">
        <v>4.2462042499999963</v>
      </c>
      <c r="H51" s="189">
        <f t="shared" si="2"/>
        <v>6.7921149999999937</v>
      </c>
      <c r="I51" s="203">
        <f t="shared" si="3"/>
        <v>2.5539926393154239E-2</v>
      </c>
      <c r="J51" s="203">
        <f t="shared" si="4"/>
        <v>4.2596836513337601E-2</v>
      </c>
      <c r="K51" s="189">
        <f t="shared" si="7"/>
        <v>15.753002687628159</v>
      </c>
      <c r="L51" s="189">
        <f t="shared" si="8"/>
        <v>-92.135884826136689</v>
      </c>
      <c r="M51" s="296"/>
      <c r="N51" s="296"/>
    </row>
    <row r="52" spans="1:14" x14ac:dyDescent="0.25">
      <c r="A52" s="21" t="s">
        <v>653</v>
      </c>
      <c r="B52" s="48">
        <v>0.99759500000000001</v>
      </c>
      <c r="C52" s="203">
        <f t="shared" si="0"/>
        <v>8.4211974317964945E-3</v>
      </c>
      <c r="D52" s="48">
        <v>4.0067399599999902</v>
      </c>
      <c r="E52" s="203">
        <f t="shared" si="1"/>
        <v>3.0364175818486494E-2</v>
      </c>
      <c r="F52" s="48">
        <v>1.6017999999999981E-3</v>
      </c>
      <c r="G52" s="48">
        <v>6.6806993399999994</v>
      </c>
      <c r="H52" s="189">
        <f t="shared" si="2"/>
        <v>6.6823011399999999</v>
      </c>
      <c r="I52" s="203">
        <f t="shared" si="3"/>
        <v>1.6068848484399717E-5</v>
      </c>
      <c r="J52" s="203">
        <f t="shared" si="4"/>
        <v>6.7019069462036035E-2</v>
      </c>
      <c r="K52" s="189">
        <f t="shared" si="7"/>
        <v>66.77651174547438</v>
      </c>
      <c r="L52" s="189">
        <f t="shared" si="8"/>
        <v>569.84108180173314</v>
      </c>
      <c r="M52" s="296"/>
      <c r="N52" s="296"/>
    </row>
    <row r="53" spans="1:14" x14ac:dyDescent="0.25">
      <c r="A53" s="21" t="s">
        <v>508</v>
      </c>
      <c r="B53" s="48">
        <v>6.3420418799999885</v>
      </c>
      <c r="C53" s="203">
        <f t="shared" si="0"/>
        <v>5.3536341693975718E-2</v>
      </c>
      <c r="D53" s="48">
        <v>6.251063499999975</v>
      </c>
      <c r="E53" s="203">
        <f t="shared" si="1"/>
        <v>4.7372275980326721E-2</v>
      </c>
      <c r="F53" s="48">
        <v>6.5776336899999883</v>
      </c>
      <c r="G53" s="48">
        <v>1.1916400000000001E-3</v>
      </c>
      <c r="H53" s="189">
        <f t="shared" si="2"/>
        <v>6.5788253299999884</v>
      </c>
      <c r="I53" s="203">
        <f t="shared" si="3"/>
        <v>6.5985141185224722E-2</v>
      </c>
      <c r="J53" s="203">
        <f t="shared" si="4"/>
        <v>1.1954228123330069E-5</v>
      </c>
      <c r="K53" s="189">
        <f t="shared" si="7"/>
        <v>5.2432970805690093</v>
      </c>
      <c r="L53" s="189">
        <f t="shared" si="8"/>
        <v>3.7335522924676789</v>
      </c>
      <c r="M53" s="296"/>
      <c r="N53" s="296"/>
    </row>
    <row r="54" spans="1:14" x14ac:dyDescent="0.25">
      <c r="A54" s="21" t="s">
        <v>514</v>
      </c>
      <c r="B54" s="48">
        <v>5.2724282599999901</v>
      </c>
      <c r="C54" s="203">
        <f t="shared" si="0"/>
        <v>4.4507199136366138E-2</v>
      </c>
      <c r="D54" s="48">
        <v>0.68810745999999834</v>
      </c>
      <c r="E54" s="203">
        <f t="shared" si="1"/>
        <v>5.2146673120888444E-3</v>
      </c>
      <c r="F54" s="48">
        <v>5.9465645499999988</v>
      </c>
      <c r="G54" s="48">
        <v>0.20660467999999899</v>
      </c>
      <c r="H54" s="189">
        <f t="shared" si="2"/>
        <v>6.1531692299999978</v>
      </c>
      <c r="I54" s="203">
        <f t="shared" si="3"/>
        <v>5.9654416754059615E-2</v>
      </c>
      <c r="J54" s="203">
        <f t="shared" si="4"/>
        <v>2.0726053808764367E-3</v>
      </c>
      <c r="K54" s="189">
        <f t="shared" si="7"/>
        <v>794.21632342134649</v>
      </c>
      <c r="L54" s="189">
        <f t="shared" si="8"/>
        <v>16.704655361209397</v>
      </c>
      <c r="M54" s="296"/>
      <c r="N54" s="296"/>
    </row>
    <row r="55" spans="1:14" x14ac:dyDescent="0.25">
      <c r="A55" s="21" t="s">
        <v>527</v>
      </c>
      <c r="B55" s="48">
        <v>2.4339239799999963</v>
      </c>
      <c r="C55" s="203">
        <f t="shared" si="0"/>
        <v>2.0545967421211883E-2</v>
      </c>
      <c r="D55" s="48">
        <v>7.2382805799999943</v>
      </c>
      <c r="E55" s="203">
        <f t="shared" si="1"/>
        <v>5.4853678139535851E-2</v>
      </c>
      <c r="F55" s="48">
        <v>3.2227537299999969</v>
      </c>
      <c r="G55" s="48">
        <v>2.6728818599999946</v>
      </c>
      <c r="H55" s="189">
        <f t="shared" si="2"/>
        <v>5.8956355899999915</v>
      </c>
      <c r="I55" s="203">
        <f t="shared" si="3"/>
        <v>3.2329842296106907E-2</v>
      </c>
      <c r="J55" s="203">
        <f t="shared" si="4"/>
        <v>2.6813668138993919E-2</v>
      </c>
      <c r="K55" s="189">
        <f t="shared" si="7"/>
        <v>-18.549225539969385</v>
      </c>
      <c r="L55" s="189">
        <f t="shared" si="8"/>
        <v>142.22759783976491</v>
      </c>
      <c r="M55" s="296"/>
      <c r="N55" s="296"/>
    </row>
    <row r="56" spans="1:14" x14ac:dyDescent="0.25">
      <c r="A56" s="21" t="s">
        <v>483</v>
      </c>
      <c r="B56" s="48">
        <v>0.73637137999999991</v>
      </c>
      <c r="C56" s="203">
        <f t="shared" si="0"/>
        <v>6.2160784427592762E-3</v>
      </c>
      <c r="D56" s="48">
        <v>6.7138405800000003</v>
      </c>
      <c r="E56" s="203">
        <f t="shared" si="1"/>
        <v>5.0879327788571994E-2</v>
      </c>
      <c r="F56" s="48">
        <v>5.5262706299999991</v>
      </c>
      <c r="G56" s="48">
        <v>4.7715279999999992E-2</v>
      </c>
      <c r="H56" s="189">
        <f t="shared" si="2"/>
        <v>5.5739859099999993</v>
      </c>
      <c r="I56" s="203">
        <f t="shared" si="3"/>
        <v>5.543813549585358E-2</v>
      </c>
      <c r="J56" s="203">
        <f t="shared" si="4"/>
        <v>4.7866750200443808E-4</v>
      </c>
      <c r="K56" s="189">
        <f t="shared" si="7"/>
        <v>-16.977684477578126</v>
      </c>
      <c r="L56" s="189">
        <f t="shared" si="8"/>
        <v>656.95308935010485</v>
      </c>
      <c r="M56" s="296"/>
      <c r="N56" s="296"/>
    </row>
    <row r="57" spans="1:14" x14ac:dyDescent="0.25">
      <c r="A57" s="21" t="s">
        <v>484</v>
      </c>
      <c r="B57" s="48">
        <v>15.512448749999997</v>
      </c>
      <c r="C57" s="203">
        <f t="shared" si="0"/>
        <v>0.1309483242943025</v>
      </c>
      <c r="D57" s="48">
        <v>2.9171846799999979</v>
      </c>
      <c r="E57" s="203">
        <f t="shared" si="1"/>
        <v>2.2107226673755843E-2</v>
      </c>
      <c r="F57" s="48">
        <v>1.8330105299999999</v>
      </c>
      <c r="G57" s="48">
        <v>3.3607067899999996</v>
      </c>
      <c r="H57" s="189">
        <f t="shared" si="2"/>
        <v>5.1937173199999993</v>
      </c>
      <c r="I57" s="203">
        <f t="shared" si="3"/>
        <v>1.8388293467898151E-2</v>
      </c>
      <c r="J57" s="203">
        <f t="shared" si="4"/>
        <v>3.3713752159447746E-2</v>
      </c>
      <c r="K57" s="189">
        <f t="shared" si="7"/>
        <v>78.038687629471681</v>
      </c>
      <c r="L57" s="189">
        <f t="shared" si="8"/>
        <v>-66.51903639649413</v>
      </c>
      <c r="M57" s="296"/>
      <c r="N57" s="296"/>
    </row>
    <row r="58" spans="1:14" x14ac:dyDescent="0.25">
      <c r="A58" s="21" t="s">
        <v>537</v>
      </c>
      <c r="B58" s="48">
        <v>0.25440868999999999</v>
      </c>
      <c r="C58" s="203">
        <f t="shared" si="0"/>
        <v>2.1475907626388566E-3</v>
      </c>
      <c r="D58" s="48">
        <v>0.52826202999999994</v>
      </c>
      <c r="E58" s="203">
        <f t="shared" si="1"/>
        <v>4.0033147439772019E-3</v>
      </c>
      <c r="F58" s="48">
        <v>0.37614025000000001</v>
      </c>
      <c r="G58" s="48">
        <v>4.5452599899999893</v>
      </c>
      <c r="H58" s="189">
        <f t="shared" si="2"/>
        <v>4.921400239999989</v>
      </c>
      <c r="I58" s="203">
        <f t="shared" si="3"/>
        <v>3.7733429180510912E-3</v>
      </c>
      <c r="J58" s="203">
        <f t="shared" si="4"/>
        <v>4.5596887315216689E-2</v>
      </c>
      <c r="K58" s="189">
        <f t="shared" si="7"/>
        <v>831.6210442003545</v>
      </c>
      <c r="L58" s="189">
        <f t="shared" si="8"/>
        <v>1834.446594571903</v>
      </c>
      <c r="M58" s="296"/>
      <c r="N58" s="296"/>
    </row>
    <row r="59" spans="1:14" x14ac:dyDescent="0.25">
      <c r="A59" s="21" t="s">
        <v>965</v>
      </c>
      <c r="B59" s="48">
        <v>4.5118279899999978</v>
      </c>
      <c r="C59" s="203">
        <f t="shared" si="0"/>
        <v>3.8086592537147357E-2</v>
      </c>
      <c r="D59" s="48">
        <v>9.6200461999999902</v>
      </c>
      <c r="E59" s="203">
        <f t="shared" si="1"/>
        <v>7.2903352130384652E-2</v>
      </c>
      <c r="F59" s="48">
        <v>1.1789486999999994</v>
      </c>
      <c r="G59" s="48">
        <v>3.7080356799999978</v>
      </c>
      <c r="H59" s="189">
        <f t="shared" si="2"/>
        <v>4.8869843799999977</v>
      </c>
      <c r="I59" s="203">
        <f t="shared" si="3"/>
        <v>1.1826912243213904E-2</v>
      </c>
      <c r="J59" s="203">
        <f t="shared" si="4"/>
        <v>3.71980668726858E-2</v>
      </c>
      <c r="K59" s="189">
        <f t="shared" si="7"/>
        <v>-49.199990536427961</v>
      </c>
      <c r="L59" s="189">
        <f t="shared" si="8"/>
        <v>8.3149532923572309</v>
      </c>
      <c r="M59" s="296"/>
      <c r="N59" s="296"/>
    </row>
    <row r="60" spans="1:14" x14ac:dyDescent="0.25">
      <c r="A60" s="21" t="s">
        <v>597</v>
      </c>
      <c r="B60" s="48">
        <v>0.17889804999999981</v>
      </c>
      <c r="C60" s="203">
        <f t="shared" si="0"/>
        <v>1.5101677526585429E-3</v>
      </c>
      <c r="D60" s="48">
        <v>11.951631939999993</v>
      </c>
      <c r="E60" s="203">
        <f t="shared" si="1"/>
        <v>9.0572749209309689E-2</v>
      </c>
      <c r="F60" s="48">
        <v>4.8644778499999894</v>
      </c>
      <c r="G60" s="48">
        <v>1.62038E-3</v>
      </c>
      <c r="H60" s="189">
        <f t="shared" si="2"/>
        <v>4.8660982299999898</v>
      </c>
      <c r="I60" s="203">
        <f t="shared" si="3"/>
        <v>4.8799199355330516E-2</v>
      </c>
      <c r="J60" s="203">
        <f t="shared" si="4"/>
        <v>1.6255238298883535E-5</v>
      </c>
      <c r="K60" s="189">
        <f t="shared" si="7"/>
        <v>-59.285072913649373</v>
      </c>
      <c r="L60" s="189">
        <f t="shared" si="8"/>
        <v>2620.0398383325</v>
      </c>
      <c r="M60" s="296"/>
      <c r="N60" s="296"/>
    </row>
    <row r="61" spans="1:14" x14ac:dyDescent="0.25">
      <c r="A61" s="21" t="s">
        <v>660</v>
      </c>
      <c r="B61" s="48">
        <v>7.2474445699999999</v>
      </c>
      <c r="C61" s="203">
        <f t="shared" si="0"/>
        <v>6.11792978112074E-2</v>
      </c>
      <c r="D61" s="48">
        <v>7.4970987099999888</v>
      </c>
      <c r="E61" s="203">
        <f t="shared" si="1"/>
        <v>5.6815073009876219E-2</v>
      </c>
      <c r="F61" s="48">
        <v>4.8614530299999998</v>
      </c>
      <c r="G61" s="48"/>
      <c r="H61" s="189">
        <f t="shared" si="2"/>
        <v>4.8614530299999998</v>
      </c>
      <c r="I61" s="203">
        <f t="shared" si="3"/>
        <v>4.8768855133659639E-2</v>
      </c>
      <c r="J61" s="203">
        <f t="shared" si="4"/>
        <v>0</v>
      </c>
      <c r="K61" s="189">
        <f t="shared" si="7"/>
        <v>-35.15554192296333</v>
      </c>
      <c r="L61" s="189">
        <f t="shared" si="8"/>
        <v>-32.921832198297174</v>
      </c>
      <c r="M61" s="296"/>
      <c r="N61" s="296"/>
    </row>
    <row r="62" spans="1:14" x14ac:dyDescent="0.25">
      <c r="A62" s="21" t="s">
        <v>720</v>
      </c>
      <c r="B62" s="48">
        <v>1.2183100499999999</v>
      </c>
      <c r="C62" s="203">
        <f t="shared" si="0"/>
        <v>1.028436335806801E-2</v>
      </c>
      <c r="D62" s="48">
        <v>4.5310268900000006</v>
      </c>
      <c r="E62" s="203">
        <f t="shared" si="1"/>
        <v>3.4337366162951688E-2</v>
      </c>
      <c r="F62" s="48">
        <v>4.7720743900000002</v>
      </c>
      <c r="G62" s="48"/>
      <c r="H62" s="189">
        <f t="shared" si="2"/>
        <v>4.7720743900000002</v>
      </c>
      <c r="I62" s="203">
        <f t="shared" si="3"/>
        <v>4.7872231445370395E-2</v>
      </c>
      <c r="J62" s="203">
        <f t="shared" si="4"/>
        <v>0</v>
      </c>
      <c r="K62" s="189">
        <f t="shared" si="7"/>
        <v>5.3199309086422009</v>
      </c>
      <c r="L62" s="189">
        <f t="shared" si="8"/>
        <v>291.69621805221095</v>
      </c>
      <c r="M62" s="296"/>
      <c r="N62" s="296"/>
    </row>
    <row r="63" spans="1:14" x14ac:dyDescent="0.25">
      <c r="A63" s="21" t="s">
        <v>542</v>
      </c>
      <c r="B63" s="48">
        <v>1.1967450099999986</v>
      </c>
      <c r="C63" s="203">
        <f t="shared" si="0"/>
        <v>1.0102322089352149E-2</v>
      </c>
      <c r="D63" s="48">
        <v>1.8598628099999996</v>
      </c>
      <c r="E63" s="203">
        <f t="shared" si="1"/>
        <v>1.4094551162512793E-2</v>
      </c>
      <c r="F63" s="48">
        <v>0.44207800000000003</v>
      </c>
      <c r="G63" s="48">
        <v>4.2883941399999879</v>
      </c>
      <c r="H63" s="189">
        <f t="shared" si="2"/>
        <v>4.7304721399999883</v>
      </c>
      <c r="I63" s="203">
        <f t="shared" si="3"/>
        <v>4.4348135848960336E-3</v>
      </c>
      <c r="J63" s="203">
        <f t="shared" si="4"/>
        <v>4.3020074714101332E-2</v>
      </c>
      <c r="K63" s="189">
        <f t="shared" si="7"/>
        <v>154.34521915086785</v>
      </c>
      <c r="L63" s="189">
        <f t="shared" si="8"/>
        <v>295.27820049151438</v>
      </c>
      <c r="M63" s="296"/>
      <c r="N63" s="296"/>
    </row>
    <row r="64" spans="1:14" x14ac:dyDescent="0.25">
      <c r="A64" s="21" t="s">
        <v>623</v>
      </c>
      <c r="B64" s="48">
        <v>8.7339830000000007E-2</v>
      </c>
      <c r="C64" s="203">
        <f t="shared" si="0"/>
        <v>7.3727910834511248E-4</v>
      </c>
      <c r="D64" s="48">
        <v>0.52168700000000001</v>
      </c>
      <c r="E64" s="203">
        <f t="shared" si="1"/>
        <v>3.9534873608864807E-3</v>
      </c>
      <c r="F64" s="48">
        <v>2.0736834899999996</v>
      </c>
      <c r="G64" s="48">
        <v>2.3666606900000002</v>
      </c>
      <c r="H64" s="189">
        <f t="shared" si="2"/>
        <v>4.4403441800000003</v>
      </c>
      <c r="I64" s="203">
        <f t="shared" si="3"/>
        <v>2.080266313235813E-2</v>
      </c>
      <c r="J64" s="203">
        <f t="shared" si="4"/>
        <v>2.3741735573476676E-2</v>
      </c>
      <c r="K64" s="189">
        <f t="shared" si="7"/>
        <v>751.15101200528295</v>
      </c>
      <c r="L64" s="189">
        <f t="shared" si="8"/>
        <v>4983.9853707065831</v>
      </c>
      <c r="M64" s="296"/>
      <c r="N64" s="296"/>
    </row>
    <row r="65" spans="1:14" x14ac:dyDescent="0.25">
      <c r="A65" s="21" t="s">
        <v>511</v>
      </c>
      <c r="B65" s="48">
        <v>1.5664679799999999</v>
      </c>
      <c r="C65" s="203">
        <f t="shared" si="0"/>
        <v>1.3223338258679565E-2</v>
      </c>
      <c r="D65" s="48">
        <v>3.5941572199999974</v>
      </c>
      <c r="E65" s="203">
        <f t="shared" si="1"/>
        <v>2.7237510504016547E-2</v>
      </c>
      <c r="F65" s="48">
        <v>4.2520038699999887</v>
      </c>
      <c r="G65" s="48">
        <v>0.10878224999999989</v>
      </c>
      <c r="H65" s="189">
        <f t="shared" si="2"/>
        <v>4.3607861199999887</v>
      </c>
      <c r="I65" s="203">
        <f t="shared" si="3"/>
        <v>4.2655016819897071E-2</v>
      </c>
      <c r="J65" s="203">
        <f t="shared" si="4"/>
        <v>1.0912757479348803E-3</v>
      </c>
      <c r="K65" s="189">
        <f t="shared" si="7"/>
        <v>21.329865475389308</v>
      </c>
      <c r="L65" s="189">
        <f t="shared" si="8"/>
        <v>178.38335514524778</v>
      </c>
      <c r="M65" s="296"/>
      <c r="N65" s="296"/>
    </row>
    <row r="66" spans="1:14" x14ac:dyDescent="0.25">
      <c r="A66" s="21" t="s">
        <v>560</v>
      </c>
      <c r="B66" s="48">
        <v>2.8546969199999981</v>
      </c>
      <c r="C66" s="203">
        <f t="shared" si="0"/>
        <v>2.4097921873366793E-2</v>
      </c>
      <c r="D66" s="48">
        <v>6.5281801099999965</v>
      </c>
      <c r="E66" s="203">
        <f t="shared" si="1"/>
        <v>4.9472341757558651E-2</v>
      </c>
      <c r="F66" s="48">
        <v>2.6001138499999992</v>
      </c>
      <c r="G66" s="48">
        <v>1.2283271399999989</v>
      </c>
      <c r="H66" s="189">
        <f t="shared" si="2"/>
        <v>3.828440989999998</v>
      </c>
      <c r="I66" s="203">
        <f t="shared" si="3"/>
        <v>2.6083678048345143E-2</v>
      </c>
      <c r="J66" s="203">
        <f t="shared" si="4"/>
        <v>1.2322264141550784E-2</v>
      </c>
      <c r="K66" s="189">
        <f t="shared" si="7"/>
        <v>-41.355156789630918</v>
      </c>
      <c r="L66" s="189">
        <f t="shared" si="8"/>
        <v>34.110243479017058</v>
      </c>
      <c r="M66" s="296"/>
      <c r="N66" s="296"/>
    </row>
    <row r="67" spans="1:14" x14ac:dyDescent="0.25">
      <c r="A67" s="21" t="s">
        <v>935</v>
      </c>
      <c r="B67" s="48">
        <v>1706.82341701</v>
      </c>
      <c r="C67" s="203">
        <f t="shared" si="0"/>
        <v>14.408148573173211</v>
      </c>
      <c r="D67" s="48">
        <v>131.26334258999998</v>
      </c>
      <c r="E67" s="203">
        <f t="shared" si="1"/>
        <v>0.99474966000164278</v>
      </c>
      <c r="F67" s="48">
        <v>7.2906639999999898E-2</v>
      </c>
      <c r="G67" s="48">
        <v>3.2069353299999999</v>
      </c>
      <c r="H67" s="189">
        <f t="shared" si="2"/>
        <v>3.2798419699999997</v>
      </c>
      <c r="I67" s="203">
        <f t="shared" si="3"/>
        <v>7.3138079140134572E-4</v>
      </c>
      <c r="J67" s="203">
        <f t="shared" si="4"/>
        <v>3.2171156147483122E-2</v>
      </c>
      <c r="K67" s="189">
        <f t="shared" si="7"/>
        <v>-97.501326794454286</v>
      </c>
      <c r="L67" s="189">
        <f t="shared" si="8"/>
        <v>-99.807839408733585</v>
      </c>
      <c r="M67" s="296"/>
      <c r="N67" s="296"/>
    </row>
    <row r="68" spans="1:14" x14ac:dyDescent="0.25">
      <c r="A68" s="21" t="s">
        <v>680</v>
      </c>
      <c r="B68" s="48">
        <v>2.5770366</v>
      </c>
      <c r="C68" s="203">
        <f t="shared" ref="C68:C131" si="9">(B68/$B$245)*100</f>
        <v>2.1754052493813191E-2</v>
      </c>
      <c r="D68" s="48">
        <v>2.6058438500000003</v>
      </c>
      <c r="E68" s="203">
        <f t="shared" ref="E68:E131" si="10">(D68/$D$245)*100</f>
        <v>1.9747800358105087E-2</v>
      </c>
      <c r="F68" s="48">
        <v>3.0900599999999998</v>
      </c>
      <c r="G68" s="48"/>
      <c r="H68" s="189">
        <f t="shared" ref="H68:H131" si="11">F68+G68</f>
        <v>3.0900599999999998</v>
      </c>
      <c r="I68" s="203">
        <f t="shared" ref="I68:I131" si="12">(F68/$H$245)*100</f>
        <v>3.0998692688041108E-2</v>
      </c>
      <c r="J68" s="203">
        <f t="shared" ref="J68:J131" si="13">(G68/$H$245)*100</f>
        <v>0</v>
      </c>
      <c r="K68" s="189">
        <f t="shared" ref="K68:K99" si="14">((H68/D68)-1)*100</f>
        <v>18.581932681806677</v>
      </c>
      <c r="L68" s="189">
        <f t="shared" ref="L68:L99" si="15">((H68/B68)-1)*100</f>
        <v>19.907493746887404</v>
      </c>
      <c r="M68" s="296"/>
      <c r="N68" s="296"/>
    </row>
    <row r="69" spans="1:14" x14ac:dyDescent="0.25">
      <c r="A69" s="21" t="s">
        <v>515</v>
      </c>
      <c r="B69" s="48">
        <v>17.505413559999901</v>
      </c>
      <c r="C69" s="203">
        <f t="shared" si="9"/>
        <v>0.1477719352182065</v>
      </c>
      <c r="D69" s="48">
        <v>7.62745172999999</v>
      </c>
      <c r="E69" s="203">
        <f t="shared" si="10"/>
        <v>5.7802923995281995E-2</v>
      </c>
      <c r="F69" s="48">
        <v>2.9970726499999967</v>
      </c>
      <c r="G69" s="48">
        <v>8.7729499999999988E-2</v>
      </c>
      <c r="H69" s="189">
        <f t="shared" si="11"/>
        <v>3.0848021499999967</v>
      </c>
      <c r="I69" s="203">
        <f t="shared" si="12"/>
        <v>3.0065867342732144E-2</v>
      </c>
      <c r="J69" s="203">
        <f t="shared" si="13"/>
        <v>8.8007993701594853E-4</v>
      </c>
      <c r="K69" s="189">
        <f t="shared" si="14"/>
        <v>-59.556582470827379</v>
      </c>
      <c r="L69" s="189">
        <f t="shared" si="15"/>
        <v>-82.378010439874387</v>
      </c>
      <c r="M69" s="296"/>
      <c r="N69" s="296"/>
    </row>
    <row r="70" spans="1:14" x14ac:dyDescent="0.25">
      <c r="A70" s="21" t="s">
        <v>714</v>
      </c>
      <c r="B70" s="48">
        <v>12.060694489999987</v>
      </c>
      <c r="C70" s="203">
        <f t="shared" si="9"/>
        <v>0.10181034334060418</v>
      </c>
      <c r="D70" s="48">
        <v>3.8935506399999902</v>
      </c>
      <c r="E70" s="203">
        <f t="shared" si="10"/>
        <v>2.9506396065478779E-2</v>
      </c>
      <c r="F70" s="48">
        <v>2.9984471999999887</v>
      </c>
      <c r="G70" s="48"/>
      <c r="H70" s="189">
        <f t="shared" si="11"/>
        <v>2.9984471999999887</v>
      </c>
      <c r="I70" s="203">
        <f t="shared" si="12"/>
        <v>3.0079656477258368E-2</v>
      </c>
      <c r="J70" s="203">
        <f t="shared" si="13"/>
        <v>0</v>
      </c>
      <c r="K70" s="189">
        <f t="shared" si="14"/>
        <v>-22.989387393713312</v>
      </c>
      <c r="L70" s="189">
        <f t="shared" si="15"/>
        <v>-75.138685400860425</v>
      </c>
      <c r="M70" s="296"/>
      <c r="N70" s="296"/>
    </row>
    <row r="71" spans="1:14" x14ac:dyDescent="0.25">
      <c r="A71" s="21" t="s">
        <v>658</v>
      </c>
      <c r="B71" s="48">
        <v>2.8169228300000002</v>
      </c>
      <c r="C71" s="203">
        <f t="shared" si="9"/>
        <v>2.3779051921435968E-2</v>
      </c>
      <c r="D71" s="48">
        <v>5.350853779999988</v>
      </c>
      <c r="E71" s="203">
        <f t="shared" si="10"/>
        <v>4.0550239490693848E-2</v>
      </c>
      <c r="F71" s="48">
        <v>2.9525043199999974</v>
      </c>
      <c r="G71" s="48"/>
      <c r="H71" s="189">
        <f t="shared" si="11"/>
        <v>2.9525043199999974</v>
      </c>
      <c r="I71" s="203">
        <f t="shared" si="12"/>
        <v>2.9618769239365482E-2</v>
      </c>
      <c r="J71" s="203">
        <f t="shared" si="13"/>
        <v>0</v>
      </c>
      <c r="K71" s="189">
        <f t="shared" si="14"/>
        <v>-44.821808978678469</v>
      </c>
      <c r="L71" s="189">
        <f t="shared" si="15"/>
        <v>4.8131062930111268</v>
      </c>
      <c r="M71" s="296"/>
      <c r="N71" s="296"/>
    </row>
    <row r="72" spans="1:14" x14ac:dyDescent="0.25">
      <c r="A72" s="21" t="s">
        <v>584</v>
      </c>
      <c r="B72" s="48">
        <v>13.209243539999981</v>
      </c>
      <c r="C72" s="203">
        <f t="shared" si="9"/>
        <v>0.1115058192703675</v>
      </c>
      <c r="D72" s="48">
        <v>9.3843763499999895</v>
      </c>
      <c r="E72" s="203">
        <f t="shared" si="10"/>
        <v>7.1117381283273232E-2</v>
      </c>
      <c r="F72" s="48">
        <v>2.8279739099999985</v>
      </c>
      <c r="G72" s="48">
        <v>1.4428370000000001E-2</v>
      </c>
      <c r="H72" s="189">
        <f t="shared" si="11"/>
        <v>2.8424022799999986</v>
      </c>
      <c r="I72" s="203">
        <f t="shared" si="12"/>
        <v>2.8369511972546807E-2</v>
      </c>
      <c r="J72" s="203">
        <f t="shared" si="13"/>
        <v>1.4474172269125898E-4</v>
      </c>
      <c r="K72" s="189">
        <f t="shared" si="14"/>
        <v>-69.711335372861498</v>
      </c>
      <c r="L72" s="189">
        <f t="shared" si="15"/>
        <v>-78.481717962177854</v>
      </c>
      <c r="M72" s="296"/>
      <c r="N72" s="296"/>
    </row>
    <row r="73" spans="1:14" x14ac:dyDescent="0.25">
      <c r="A73" s="21" t="s">
        <v>630</v>
      </c>
      <c r="B73" s="48">
        <v>0.52343131000000009</v>
      </c>
      <c r="C73" s="203">
        <f t="shared" si="9"/>
        <v>4.4185450042290462E-3</v>
      </c>
      <c r="D73" s="48">
        <v>1.3762645599999981</v>
      </c>
      <c r="E73" s="203">
        <f t="shared" si="10"/>
        <v>1.0429710809730711E-2</v>
      </c>
      <c r="F73" s="48">
        <v>2.0336442599999964</v>
      </c>
      <c r="G73" s="48">
        <v>0.64920579999999906</v>
      </c>
      <c r="H73" s="189">
        <f t="shared" si="11"/>
        <v>2.6828500599999954</v>
      </c>
      <c r="I73" s="203">
        <f t="shared" si="12"/>
        <v>2.040099980341439E-2</v>
      </c>
      <c r="J73" s="203">
        <f t="shared" si="13"/>
        <v>6.5126667720024371E-3</v>
      </c>
      <c r="K73" s="189">
        <f t="shared" si="14"/>
        <v>94.937088258670201</v>
      </c>
      <c r="L73" s="189">
        <f t="shared" si="15"/>
        <v>412.5505503291339</v>
      </c>
      <c r="M73" s="296"/>
      <c r="N73" s="296"/>
    </row>
    <row r="74" spans="1:14" x14ac:dyDescent="0.25">
      <c r="A74" s="21" t="s">
        <v>500</v>
      </c>
      <c r="B74" s="48">
        <v>3.6551679899999994</v>
      </c>
      <c r="C74" s="203">
        <f t="shared" si="9"/>
        <v>3.0855097800382668E-2</v>
      </c>
      <c r="D74" s="48">
        <v>2.3044665599999985</v>
      </c>
      <c r="E74" s="203">
        <f t="shared" si="10"/>
        <v>1.7463880484937407E-2</v>
      </c>
      <c r="F74" s="48">
        <v>2.265527029999999</v>
      </c>
      <c r="G74" s="48">
        <v>0.36882837999999901</v>
      </c>
      <c r="H74" s="189">
        <f t="shared" si="11"/>
        <v>2.6343554099999982</v>
      </c>
      <c r="I74" s="203">
        <f t="shared" si="12"/>
        <v>2.2727188526896067E-2</v>
      </c>
      <c r="J74" s="203">
        <f t="shared" si="13"/>
        <v>3.6999921057351694E-3</v>
      </c>
      <c r="K74" s="189">
        <f t="shared" si="14"/>
        <v>14.315193621208365</v>
      </c>
      <c r="L74" s="189">
        <f t="shared" si="15"/>
        <v>-27.927925140316223</v>
      </c>
      <c r="M74" s="296"/>
      <c r="N74" s="296"/>
    </row>
    <row r="75" spans="1:14" x14ac:dyDescent="0.25">
      <c r="A75" s="21" t="s">
        <v>529</v>
      </c>
      <c r="B75" s="48">
        <v>1.1358774499999988</v>
      </c>
      <c r="C75" s="203">
        <f t="shared" si="9"/>
        <v>9.5885086280259428E-3</v>
      </c>
      <c r="D75" s="48">
        <v>0.54730668999999987</v>
      </c>
      <c r="E75" s="203">
        <f t="shared" si="10"/>
        <v>4.1476404078376779E-3</v>
      </c>
      <c r="F75" s="48">
        <v>0.92948247999999778</v>
      </c>
      <c r="G75" s="48">
        <v>1.639997739999999</v>
      </c>
      <c r="H75" s="189">
        <f t="shared" si="11"/>
        <v>2.5694802199999969</v>
      </c>
      <c r="I75" s="203">
        <f t="shared" si="12"/>
        <v>9.3243308403196858E-3</v>
      </c>
      <c r="J75" s="203">
        <f t="shared" si="13"/>
        <v>1.6452038455998238E-2</v>
      </c>
      <c r="K75" s="189">
        <f t="shared" si="14"/>
        <v>369.4772176090151</v>
      </c>
      <c r="L75" s="189" t="s">
        <v>240</v>
      </c>
      <c r="M75" s="296"/>
      <c r="N75" s="296"/>
    </row>
    <row r="76" spans="1:14" x14ac:dyDescent="0.25">
      <c r="A76" s="21" t="s">
        <v>512</v>
      </c>
      <c r="B76" s="48">
        <v>0.49893938999999993</v>
      </c>
      <c r="C76" s="203">
        <f t="shared" si="9"/>
        <v>4.2117964802250501E-3</v>
      </c>
      <c r="D76" s="48">
        <v>0.72167669000000012</v>
      </c>
      <c r="E76" s="203">
        <f t="shared" si="10"/>
        <v>5.4690641564029601E-3</v>
      </c>
      <c r="F76" s="48">
        <v>2.5474912699999996</v>
      </c>
      <c r="G76" s="48">
        <v>1.4487500000000002E-2</v>
      </c>
      <c r="H76" s="189">
        <f t="shared" si="11"/>
        <v>2.5619787699999996</v>
      </c>
      <c r="I76" s="203">
        <f t="shared" si="12"/>
        <v>2.555578176611378E-2</v>
      </c>
      <c r="J76" s="203">
        <f t="shared" si="13"/>
        <v>1.4533489974887079E-4</v>
      </c>
      <c r="K76" s="189">
        <f t="shared" si="14"/>
        <v>255.00367484503332</v>
      </c>
      <c r="L76" s="189">
        <f t="shared" si="15"/>
        <v>413.48496858506201</v>
      </c>
      <c r="M76" s="296"/>
      <c r="N76" s="296"/>
    </row>
    <row r="77" spans="1:14" x14ac:dyDescent="0.25">
      <c r="A77" s="21" t="s">
        <v>706</v>
      </c>
      <c r="B77" s="48">
        <v>0.77601518999999897</v>
      </c>
      <c r="C77" s="203">
        <f t="shared" si="9"/>
        <v>6.5507316346443802E-3</v>
      </c>
      <c r="D77" s="48">
        <v>1.51638384999999</v>
      </c>
      <c r="E77" s="203">
        <f t="shared" si="10"/>
        <v>1.1491573271381769E-2</v>
      </c>
      <c r="F77" s="48">
        <v>2.3685702200000001</v>
      </c>
      <c r="G77" s="48"/>
      <c r="H77" s="189">
        <f t="shared" si="11"/>
        <v>2.3685702200000001</v>
      </c>
      <c r="I77" s="203">
        <f t="shared" si="12"/>
        <v>2.376089149072378E-2</v>
      </c>
      <c r="J77" s="203">
        <f t="shared" si="13"/>
        <v>0</v>
      </c>
      <c r="K77" s="189">
        <f t="shared" si="14"/>
        <v>56.198591801146904</v>
      </c>
      <c r="L77" s="189">
        <f t="shared" si="15"/>
        <v>205.22214648916898</v>
      </c>
      <c r="M77" s="296"/>
      <c r="N77" s="296"/>
    </row>
    <row r="78" spans="1:14" x14ac:dyDescent="0.25">
      <c r="A78" s="21" t="s">
        <v>966</v>
      </c>
      <c r="B78" s="48">
        <v>0.73104384999999983</v>
      </c>
      <c r="C78" s="203">
        <f t="shared" si="9"/>
        <v>6.1711061023267157E-3</v>
      </c>
      <c r="D78" s="48">
        <v>6.0508237799999982</v>
      </c>
      <c r="E78" s="203">
        <f t="shared" si="10"/>
        <v>4.5854804388802774E-2</v>
      </c>
      <c r="F78" s="48">
        <v>0.89664168999999982</v>
      </c>
      <c r="G78" s="48">
        <v>1.3830417199999989</v>
      </c>
      <c r="H78" s="189">
        <f t="shared" si="11"/>
        <v>2.2796834099999987</v>
      </c>
      <c r="I78" s="203">
        <f t="shared" si="12"/>
        <v>8.9948804229030566E-3</v>
      </c>
      <c r="J78" s="203">
        <f t="shared" si="13"/>
        <v>1.3874321292473211E-2</v>
      </c>
      <c r="K78" s="189">
        <f t="shared" si="14"/>
        <v>-62.324412462066462</v>
      </c>
      <c r="L78" s="189">
        <f t="shared" si="15"/>
        <v>211.83948951899384</v>
      </c>
      <c r="M78" s="296"/>
      <c r="N78" s="296"/>
    </row>
    <row r="79" spans="1:14" x14ac:dyDescent="0.25">
      <c r="A79" s="21" t="s">
        <v>582</v>
      </c>
      <c r="B79" s="48">
        <v>0.62621801999999971</v>
      </c>
      <c r="C79" s="203">
        <f t="shared" si="9"/>
        <v>5.2862189383153313E-3</v>
      </c>
      <c r="D79" s="48">
        <v>2.4492062200000007</v>
      </c>
      <c r="E79" s="203">
        <f t="shared" si="10"/>
        <v>1.8560757379376056E-2</v>
      </c>
      <c r="F79" s="48">
        <v>2.1978688100000006</v>
      </c>
      <c r="G79" s="48">
        <v>7.7306049999999987E-2</v>
      </c>
      <c r="H79" s="189">
        <f t="shared" si="11"/>
        <v>2.2751748600000004</v>
      </c>
      <c r="I79" s="203">
        <f t="shared" si="12"/>
        <v>2.2048458544436236E-2</v>
      </c>
      <c r="J79" s="203">
        <f t="shared" si="13"/>
        <v>7.755145488684168E-4</v>
      </c>
      <c r="K79" s="189">
        <f t="shared" si="14"/>
        <v>-7.1056229801670252</v>
      </c>
      <c r="L79" s="189">
        <f t="shared" si="15"/>
        <v>263.31992809788539</v>
      </c>
      <c r="M79" s="296"/>
      <c r="N79" s="296"/>
    </row>
    <row r="80" spans="1:14" x14ac:dyDescent="0.25">
      <c r="A80" s="21" t="s">
        <v>661</v>
      </c>
      <c r="B80" s="48">
        <v>2.1145998099999974</v>
      </c>
      <c r="C80" s="203">
        <f t="shared" si="9"/>
        <v>1.7850392683653519E-2</v>
      </c>
      <c r="D80" s="48">
        <v>1.8504751399999988</v>
      </c>
      <c r="E80" s="203">
        <f t="shared" si="10"/>
        <v>1.4023408821045254E-2</v>
      </c>
      <c r="F80" s="48">
        <v>2.0557348499999977</v>
      </c>
      <c r="G80" s="48"/>
      <c r="H80" s="189">
        <f t="shared" si="11"/>
        <v>2.0557348499999977</v>
      </c>
      <c r="I80" s="203">
        <f t="shared" si="12"/>
        <v>2.0622606960138706E-2</v>
      </c>
      <c r="J80" s="203">
        <f t="shared" si="13"/>
        <v>0</v>
      </c>
      <c r="K80" s="189">
        <f t="shared" si="14"/>
        <v>11.092270604618815</v>
      </c>
      <c r="L80" s="189">
        <f t="shared" si="15"/>
        <v>-2.7837399644900063</v>
      </c>
      <c r="M80" s="296"/>
      <c r="N80" s="296"/>
    </row>
    <row r="81" spans="1:14" x14ac:dyDescent="0.25">
      <c r="A81" s="21" t="s">
        <v>633</v>
      </c>
      <c r="B81" s="48">
        <v>1.1341705399999975</v>
      </c>
      <c r="C81" s="203">
        <f t="shared" si="9"/>
        <v>9.5740997485625149E-3</v>
      </c>
      <c r="D81" s="48">
        <v>1.8983232699999957</v>
      </c>
      <c r="E81" s="203">
        <f t="shared" si="10"/>
        <v>1.4386015091082732E-2</v>
      </c>
      <c r="F81" s="48">
        <v>1.9248800399999981</v>
      </c>
      <c r="G81" s="48"/>
      <c r="H81" s="189">
        <f t="shared" si="11"/>
        <v>1.9248800399999981</v>
      </c>
      <c r="I81" s="203">
        <f t="shared" si="12"/>
        <v>1.9309904927834482E-2</v>
      </c>
      <c r="J81" s="203">
        <f t="shared" si="13"/>
        <v>0</v>
      </c>
      <c r="K81" s="189">
        <f t="shared" si="14"/>
        <v>1.3989593037018633</v>
      </c>
      <c r="L81" s="189">
        <f t="shared" si="15"/>
        <v>69.71698453744024</v>
      </c>
      <c r="M81" s="296"/>
      <c r="N81" s="296"/>
    </row>
    <row r="82" spans="1:14" x14ac:dyDescent="0.25">
      <c r="A82" s="21" t="s">
        <v>544</v>
      </c>
      <c r="B82" s="48">
        <v>0.48428686999999854</v>
      </c>
      <c r="C82" s="203">
        <f t="shared" si="9"/>
        <v>4.0881072438181329E-3</v>
      </c>
      <c r="D82" s="48">
        <v>0.65167012999999874</v>
      </c>
      <c r="E82" s="203">
        <f t="shared" si="10"/>
        <v>4.9385352182865295E-3</v>
      </c>
      <c r="F82" s="48">
        <v>1.1507244599999993</v>
      </c>
      <c r="G82" s="48">
        <v>0.53826208999999869</v>
      </c>
      <c r="H82" s="189">
        <f t="shared" si="11"/>
        <v>1.6889865499999979</v>
      </c>
      <c r="I82" s="203">
        <f t="shared" si="12"/>
        <v>1.1543773876284613E-2</v>
      </c>
      <c r="J82" s="203">
        <f t="shared" si="13"/>
        <v>5.3997078094058645E-3</v>
      </c>
      <c r="K82" s="189">
        <f t="shared" si="14"/>
        <v>159.17814431666542</v>
      </c>
      <c r="L82" s="189">
        <f t="shared" si="15"/>
        <v>248.75745237528389</v>
      </c>
      <c r="M82" s="296"/>
      <c r="N82" s="296"/>
    </row>
    <row r="83" spans="1:14" x14ac:dyDescent="0.25">
      <c r="A83" s="21" t="s">
        <v>635</v>
      </c>
      <c r="B83" s="48">
        <v>1.8122842399999981</v>
      </c>
      <c r="C83" s="203">
        <f t="shared" si="9"/>
        <v>1.5298396030025458E-2</v>
      </c>
      <c r="D83" s="48">
        <v>1.4182352599999997</v>
      </c>
      <c r="E83" s="203">
        <f t="shared" si="10"/>
        <v>1.0747776301064719E-2</v>
      </c>
      <c r="F83" s="48">
        <v>1.68765962</v>
      </c>
      <c r="G83" s="48"/>
      <c r="H83" s="189">
        <f t="shared" si="11"/>
        <v>1.68765962</v>
      </c>
      <c r="I83" s="203">
        <f t="shared" si="12"/>
        <v>1.6930170262841576E-2</v>
      </c>
      <c r="J83" s="203">
        <f t="shared" si="13"/>
        <v>0</v>
      </c>
      <c r="K83" s="189">
        <f t="shared" si="14"/>
        <v>18.99715566231237</v>
      </c>
      <c r="L83" s="189">
        <f t="shared" si="15"/>
        <v>-6.8766597010189834</v>
      </c>
      <c r="M83" s="296"/>
      <c r="N83" s="296"/>
    </row>
    <row r="84" spans="1:14" x14ac:dyDescent="0.25">
      <c r="A84" s="21" t="s">
        <v>608</v>
      </c>
      <c r="B84" s="48">
        <v>1.7904317699999999</v>
      </c>
      <c r="C84" s="203">
        <f t="shared" si="9"/>
        <v>1.5113928421183798E-2</v>
      </c>
      <c r="D84" s="48">
        <v>0.94332368999999971</v>
      </c>
      <c r="E84" s="203">
        <f t="shared" si="10"/>
        <v>7.1487659950119431E-3</v>
      </c>
      <c r="F84" s="48">
        <v>1.5947226300000001</v>
      </c>
      <c r="G84" s="48">
        <v>3.15665E-3</v>
      </c>
      <c r="H84" s="189">
        <f t="shared" si="11"/>
        <v>1.5978792800000001</v>
      </c>
      <c r="I84" s="203">
        <f t="shared" si="12"/>
        <v>1.5997850116190201E-2</v>
      </c>
      <c r="J84" s="203">
        <f t="shared" si="13"/>
        <v>3.1666706560294937E-5</v>
      </c>
      <c r="K84" s="189">
        <f t="shared" si="14"/>
        <v>69.388227703684692</v>
      </c>
      <c r="L84" s="189">
        <f t="shared" si="15"/>
        <v>-10.754528221982994</v>
      </c>
      <c r="M84" s="296"/>
      <c r="N84" s="296"/>
    </row>
    <row r="85" spans="1:14" x14ac:dyDescent="0.25">
      <c r="A85" s="21" t="s">
        <v>969</v>
      </c>
      <c r="B85" s="48">
        <v>0.394872429999999</v>
      </c>
      <c r="C85" s="203">
        <f t="shared" si="9"/>
        <v>3.3333153167399922E-3</v>
      </c>
      <c r="D85" s="48">
        <v>1.4021294999999989</v>
      </c>
      <c r="E85" s="203">
        <f t="shared" si="10"/>
        <v>1.0625722428536797E-2</v>
      </c>
      <c r="F85" s="48">
        <v>1.56235699999999</v>
      </c>
      <c r="G85" s="48"/>
      <c r="H85" s="189">
        <f t="shared" si="11"/>
        <v>1.56235699999999</v>
      </c>
      <c r="I85" s="203">
        <f t="shared" si="12"/>
        <v>1.5673166382532876E-2</v>
      </c>
      <c r="J85" s="203">
        <f t="shared" si="13"/>
        <v>0</v>
      </c>
      <c r="K85" s="189">
        <f t="shared" si="14"/>
        <v>11.427439476880785</v>
      </c>
      <c r="L85" s="189">
        <f t="shared" si="15"/>
        <v>295.66120126441695</v>
      </c>
      <c r="M85" s="296"/>
      <c r="N85" s="296"/>
    </row>
    <row r="86" spans="1:14" x14ac:dyDescent="0.25">
      <c r="A86" s="21" t="s">
        <v>507</v>
      </c>
      <c r="B86" s="48">
        <v>1.0899739999999989E-2</v>
      </c>
      <c r="C86" s="203">
        <f t="shared" si="9"/>
        <v>9.2010146898540419E-5</v>
      </c>
      <c r="D86" s="48">
        <v>7.8288100000000003E-3</v>
      </c>
      <c r="E86" s="203">
        <f t="shared" si="10"/>
        <v>5.9328872265902132E-5</v>
      </c>
      <c r="F86" s="48">
        <v>1.51096483</v>
      </c>
      <c r="G86" s="48"/>
      <c r="H86" s="189">
        <f t="shared" si="11"/>
        <v>1.51096483</v>
      </c>
      <c r="I86" s="203">
        <f t="shared" si="12"/>
        <v>1.5157613259162697E-2</v>
      </c>
      <c r="J86" s="203">
        <f t="shared" si="13"/>
        <v>0</v>
      </c>
      <c r="K86" s="189">
        <f t="shared" si="14"/>
        <v>19200.057480000156</v>
      </c>
      <c r="L86" s="189">
        <f t="shared" si="15"/>
        <v>13762.393323143502</v>
      </c>
      <c r="M86" s="296"/>
      <c r="N86" s="296"/>
    </row>
    <row r="87" spans="1:14" x14ac:dyDescent="0.25">
      <c r="A87" s="21" t="s">
        <v>525</v>
      </c>
      <c r="B87" s="48">
        <v>2.4400228799999897</v>
      </c>
      <c r="C87" s="203">
        <f t="shared" si="9"/>
        <v>2.0597451280911189E-2</v>
      </c>
      <c r="D87" s="48">
        <v>3.841891159999999</v>
      </c>
      <c r="E87" s="203">
        <f t="shared" si="10"/>
        <v>2.9114906338401178E-2</v>
      </c>
      <c r="F87" s="48">
        <v>1.3542392899999998</v>
      </c>
      <c r="G87" s="48">
        <v>4.8304839999999995E-2</v>
      </c>
      <c r="H87" s="189">
        <f t="shared" si="11"/>
        <v>1.4025441299999997</v>
      </c>
      <c r="I87" s="203">
        <f t="shared" si="12"/>
        <v>1.3585382671139389E-2</v>
      </c>
      <c r="J87" s="203">
        <f t="shared" si="13"/>
        <v>4.8458181734496925E-4</v>
      </c>
      <c r="K87" s="189">
        <f t="shared" si="14"/>
        <v>-63.493392405213264</v>
      </c>
      <c r="L87" s="189">
        <f t="shared" si="15"/>
        <v>-42.519222196801465</v>
      </c>
      <c r="M87" s="296"/>
      <c r="N87" s="296"/>
    </row>
    <row r="88" spans="1:14" x14ac:dyDescent="0.25">
      <c r="A88" s="21" t="s">
        <v>574</v>
      </c>
      <c r="B88" s="48">
        <v>0.52912365999999889</v>
      </c>
      <c r="C88" s="203">
        <f t="shared" si="9"/>
        <v>4.4665969724134065E-3</v>
      </c>
      <c r="D88" s="48">
        <v>0.58447368999999894</v>
      </c>
      <c r="E88" s="203">
        <f t="shared" si="10"/>
        <v>4.4293021412948348E-3</v>
      </c>
      <c r="F88" s="48">
        <v>1.33339929</v>
      </c>
      <c r="G88" s="48">
        <v>4.5846980000000002E-2</v>
      </c>
      <c r="H88" s="189">
        <f t="shared" si="11"/>
        <v>1.3792462700000001</v>
      </c>
      <c r="I88" s="203">
        <f t="shared" si="12"/>
        <v>1.3376321113881998E-2</v>
      </c>
      <c r="J88" s="203">
        <f t="shared" si="13"/>
        <v>4.5992519358678053E-4</v>
      </c>
      <c r="K88" s="189">
        <f t="shared" si="14"/>
        <v>135.98089932842018</v>
      </c>
      <c r="L88" s="189">
        <f t="shared" si="15"/>
        <v>160.6661493836815</v>
      </c>
      <c r="M88" s="296"/>
      <c r="N88" s="296"/>
    </row>
    <row r="89" spans="1:14" x14ac:dyDescent="0.25">
      <c r="A89" s="21" t="s">
        <v>609</v>
      </c>
      <c r="B89" s="48">
        <v>1.2291214699999999</v>
      </c>
      <c r="C89" s="203">
        <f t="shared" si="9"/>
        <v>1.03756279517539E-2</v>
      </c>
      <c r="D89" s="48">
        <v>1.6194154599999999</v>
      </c>
      <c r="E89" s="203">
        <f t="shared" si="10"/>
        <v>1.2272375108320058E-2</v>
      </c>
      <c r="F89" s="48">
        <v>1.3561836800000002</v>
      </c>
      <c r="G89" s="48"/>
      <c r="H89" s="189">
        <f t="shared" si="11"/>
        <v>1.3561836800000002</v>
      </c>
      <c r="I89" s="203">
        <f t="shared" si="12"/>
        <v>1.3604888295002912E-2</v>
      </c>
      <c r="J89" s="203">
        <f t="shared" si="13"/>
        <v>0</v>
      </c>
      <c r="K89" s="189">
        <f t="shared" si="14"/>
        <v>-16.254740460486882</v>
      </c>
      <c r="L89" s="189">
        <f t="shared" si="15"/>
        <v>10.337644659319167</v>
      </c>
      <c r="M89" s="296"/>
      <c r="N89" s="296"/>
    </row>
    <row r="90" spans="1:14" x14ac:dyDescent="0.25">
      <c r="A90" s="21" t="s">
        <v>488</v>
      </c>
      <c r="B90" s="48">
        <v>4.188400609999996</v>
      </c>
      <c r="C90" s="203">
        <f t="shared" si="9"/>
        <v>3.5356380555502824E-2</v>
      </c>
      <c r="D90" s="48">
        <v>2.4995504699999982</v>
      </c>
      <c r="E90" s="203">
        <f t="shared" si="10"/>
        <v>1.894227993230204E-2</v>
      </c>
      <c r="F90" s="48">
        <v>1.1823735599999998</v>
      </c>
      <c r="G90" s="48">
        <v>0.17264794</v>
      </c>
      <c r="H90" s="189">
        <f t="shared" si="11"/>
        <v>1.3550214999999999</v>
      </c>
      <c r="I90" s="203">
        <f t="shared" si="12"/>
        <v>1.1861269563990709E-2</v>
      </c>
      <c r="J90" s="203">
        <f t="shared" si="13"/>
        <v>1.7319600380844905E-3</v>
      </c>
      <c r="K90" s="189" t="s">
        <v>240</v>
      </c>
      <c r="L90" s="189">
        <f t="shared" si="15"/>
        <v>-67.648235539723103</v>
      </c>
      <c r="M90" s="296"/>
      <c r="N90" s="296"/>
    </row>
    <row r="91" spans="1:14" x14ac:dyDescent="0.25">
      <c r="A91" s="21" t="s">
        <v>645</v>
      </c>
      <c r="B91" s="48">
        <v>0.33973523999999999</v>
      </c>
      <c r="C91" s="203">
        <f t="shared" si="9"/>
        <v>2.8678747693991705E-3</v>
      </c>
      <c r="D91" s="48">
        <v>2.4859106099999999</v>
      </c>
      <c r="E91" s="203">
        <f t="shared" si="10"/>
        <v>1.8838913327203093E-2</v>
      </c>
      <c r="F91" s="48">
        <v>1.2901694499999998</v>
      </c>
      <c r="G91" s="48">
        <v>6.3628879999999804E-2</v>
      </c>
      <c r="H91" s="189">
        <f t="shared" si="11"/>
        <v>1.3537983299999996</v>
      </c>
      <c r="I91" s="203">
        <f t="shared" si="12"/>
        <v>1.2942650400331714E-2</v>
      </c>
      <c r="J91" s="203">
        <f t="shared" si="13"/>
        <v>6.3830867271322863E-4</v>
      </c>
      <c r="K91" s="189">
        <f t="shared" si="14"/>
        <v>-45.541150009412455</v>
      </c>
      <c r="L91" s="189">
        <f t="shared" si="15"/>
        <v>298.48628302439266</v>
      </c>
      <c r="M91" s="296"/>
      <c r="N91" s="296"/>
    </row>
    <row r="92" spans="1:14" x14ac:dyDescent="0.25">
      <c r="A92" s="21" t="s">
        <v>571</v>
      </c>
      <c r="B92" s="48">
        <v>0</v>
      </c>
      <c r="C92" s="203">
        <f t="shared" si="9"/>
        <v>0</v>
      </c>
      <c r="D92" s="48">
        <v>0.65</v>
      </c>
      <c r="E92" s="203">
        <f t="shared" si="10"/>
        <v>4.9258785144659775E-3</v>
      </c>
      <c r="F92" s="48">
        <v>1.30493787999999</v>
      </c>
      <c r="G92" s="48"/>
      <c r="H92" s="189">
        <f t="shared" si="11"/>
        <v>1.30493787999999</v>
      </c>
      <c r="I92" s="203">
        <f t="shared" si="12"/>
        <v>1.3090803518088178E-2</v>
      </c>
      <c r="J92" s="203">
        <f t="shared" si="13"/>
        <v>0</v>
      </c>
      <c r="K92" s="189">
        <f t="shared" si="14"/>
        <v>100.7596738461523</v>
      </c>
      <c r="L92" s="189" t="s">
        <v>240</v>
      </c>
      <c r="M92" s="296"/>
      <c r="N92" s="296"/>
    </row>
    <row r="93" spans="1:14" x14ac:dyDescent="0.25">
      <c r="A93" s="21" t="s">
        <v>556</v>
      </c>
      <c r="B93" s="48">
        <v>3.4220106299999897</v>
      </c>
      <c r="C93" s="203">
        <f t="shared" si="9"/>
        <v>2.8886900123733794E-2</v>
      </c>
      <c r="D93" s="48">
        <v>11.109544919999987</v>
      </c>
      <c r="E93" s="203">
        <f t="shared" si="10"/>
        <v>8.4191182502957818E-2</v>
      </c>
      <c r="F93" s="48">
        <v>1.0630009099999997</v>
      </c>
      <c r="G93" s="48">
        <v>0.21721292999999972</v>
      </c>
      <c r="H93" s="189">
        <f t="shared" si="11"/>
        <v>1.2802138399999994</v>
      </c>
      <c r="I93" s="203">
        <f t="shared" si="12"/>
        <v>1.0663753628148981E-2</v>
      </c>
      <c r="J93" s="203">
        <f t="shared" si="13"/>
        <v>2.179024635424224E-3</v>
      </c>
      <c r="K93" s="189">
        <f t="shared" si="14"/>
        <v>-88.476451112814786</v>
      </c>
      <c r="L93" s="189">
        <f t="shared" si="15"/>
        <v>-62.58884093530699</v>
      </c>
      <c r="M93" s="296"/>
      <c r="N93" s="296"/>
    </row>
    <row r="94" spans="1:14" x14ac:dyDescent="0.25">
      <c r="A94" s="21" t="s">
        <v>655</v>
      </c>
      <c r="B94" s="48">
        <v>1.19707513</v>
      </c>
      <c r="C94" s="203">
        <f t="shared" si="9"/>
        <v>1.0105108797080433E-2</v>
      </c>
      <c r="D94" s="48">
        <v>0.77945750999999996</v>
      </c>
      <c r="E94" s="203">
        <f t="shared" si="10"/>
        <v>5.9069430791509996E-3</v>
      </c>
      <c r="F94" s="48">
        <v>0.84678188999999993</v>
      </c>
      <c r="G94" s="48">
        <v>0.32329188000000003</v>
      </c>
      <c r="H94" s="189">
        <f t="shared" si="11"/>
        <v>1.1700737699999999</v>
      </c>
      <c r="I94" s="203">
        <f t="shared" si="12"/>
        <v>8.4946996439902878E-3</v>
      </c>
      <c r="J94" s="203">
        <f t="shared" si="13"/>
        <v>3.2431815682087291E-3</v>
      </c>
      <c r="K94" s="189">
        <f t="shared" si="14"/>
        <v>50.113861883247488</v>
      </c>
      <c r="L94" s="189">
        <f t="shared" si="15"/>
        <v>-2.2556111411319746</v>
      </c>
      <c r="M94" s="296"/>
      <c r="N94" s="296"/>
    </row>
    <row r="95" spans="1:14" x14ac:dyDescent="0.25">
      <c r="A95" s="21" t="s">
        <v>583</v>
      </c>
      <c r="B95" s="48">
        <v>1.4161788200000001</v>
      </c>
      <c r="C95" s="203">
        <f t="shared" si="9"/>
        <v>1.1954672429140674E-2</v>
      </c>
      <c r="D95" s="48">
        <v>3.5230272500000002</v>
      </c>
      <c r="E95" s="203">
        <f t="shared" si="10"/>
        <v>2.6698468056389472E-2</v>
      </c>
      <c r="F95" s="48">
        <v>1.0042823399999989</v>
      </c>
      <c r="G95" s="48">
        <v>7.7236959999999896E-2</v>
      </c>
      <c r="H95" s="189">
        <f t="shared" si="11"/>
        <v>1.0815192999999987</v>
      </c>
      <c r="I95" s="203">
        <f t="shared" si="12"/>
        <v>1.0074703931213888E-2</v>
      </c>
      <c r="J95" s="203">
        <f t="shared" si="13"/>
        <v>7.7482145563468685E-4</v>
      </c>
      <c r="K95" s="189">
        <f t="shared" si="14"/>
        <v>-69.301421100276798</v>
      </c>
      <c r="L95" s="189">
        <f t="shared" si="15"/>
        <v>-23.631162623940483</v>
      </c>
      <c r="M95" s="296"/>
      <c r="N95" s="296"/>
    </row>
    <row r="96" spans="1:14" x14ac:dyDescent="0.25">
      <c r="A96" s="21" t="s">
        <v>607</v>
      </c>
      <c r="B96" s="48">
        <v>1.3258394899999988</v>
      </c>
      <c r="C96" s="203">
        <f t="shared" si="9"/>
        <v>1.1192073043832781E-2</v>
      </c>
      <c r="D96" s="48">
        <v>0.82834861999999987</v>
      </c>
      <c r="E96" s="203">
        <f t="shared" si="10"/>
        <v>6.2774533380700638E-3</v>
      </c>
      <c r="F96" s="48">
        <v>0.97641966999999996</v>
      </c>
      <c r="G96" s="48">
        <v>8.0703909999999865E-2</v>
      </c>
      <c r="H96" s="189">
        <f t="shared" si="11"/>
        <v>1.0571235799999998</v>
      </c>
      <c r="I96" s="203">
        <f t="shared" si="12"/>
        <v>9.7951927421760475E-3</v>
      </c>
      <c r="J96" s="203">
        <f t="shared" si="13"/>
        <v>8.0960101254128525E-4</v>
      </c>
      <c r="K96" s="189">
        <f t="shared" si="14"/>
        <v>27.618197758330297</v>
      </c>
      <c r="L96" s="189">
        <f t="shared" si="15"/>
        <v>-20.267604942133623</v>
      </c>
      <c r="M96" s="296"/>
      <c r="N96" s="296"/>
    </row>
    <row r="97" spans="1:14" x14ac:dyDescent="0.25">
      <c r="A97" s="21" t="s">
        <v>622</v>
      </c>
      <c r="B97" s="48">
        <v>38.524897999999979</v>
      </c>
      <c r="C97" s="203">
        <f t="shared" si="9"/>
        <v>0.32520789709032394</v>
      </c>
      <c r="D97" s="48">
        <v>11.554121719999991</v>
      </c>
      <c r="E97" s="203">
        <f t="shared" si="10"/>
        <v>8.7560307590880987E-2</v>
      </c>
      <c r="F97" s="48">
        <v>0.98327554000000006</v>
      </c>
      <c r="G97" s="48">
        <v>3.9928409999999991E-2</v>
      </c>
      <c r="H97" s="189">
        <f t="shared" si="11"/>
        <v>1.0232039500000001</v>
      </c>
      <c r="I97" s="203">
        <f t="shared" si="12"/>
        <v>9.8639690789588796E-3</v>
      </c>
      <c r="J97" s="203">
        <f t="shared" si="13"/>
        <v>4.0055161100823524E-4</v>
      </c>
      <c r="K97" s="189">
        <f t="shared" si="14"/>
        <v>-91.144251594399847</v>
      </c>
      <c r="L97" s="189">
        <f t="shared" si="15"/>
        <v>-97.344045012137343</v>
      </c>
      <c r="M97" s="296"/>
      <c r="N97" s="296"/>
    </row>
    <row r="98" spans="1:14" x14ac:dyDescent="0.25">
      <c r="A98" s="21" t="s">
        <v>624</v>
      </c>
      <c r="B98" s="48">
        <v>0.30727309000000003</v>
      </c>
      <c r="C98" s="203">
        <f t="shared" si="9"/>
        <v>2.5938455549277743E-3</v>
      </c>
      <c r="D98" s="48">
        <v>2.1065006200000007</v>
      </c>
      <c r="E98" s="203">
        <f t="shared" si="10"/>
        <v>1.5963640222718869E-2</v>
      </c>
      <c r="F98" s="48">
        <v>0.99000512000000007</v>
      </c>
      <c r="G98" s="48"/>
      <c r="H98" s="189">
        <f t="shared" si="11"/>
        <v>0.99000512000000007</v>
      </c>
      <c r="I98" s="203">
        <f t="shared" si="12"/>
        <v>9.9314785067174307E-3</v>
      </c>
      <c r="J98" s="203">
        <f t="shared" si="13"/>
        <v>0</v>
      </c>
      <c r="K98" s="189">
        <f t="shared" si="14"/>
        <v>-53.002381741525454</v>
      </c>
      <c r="L98" s="189">
        <f t="shared" si="15"/>
        <v>222.19063504714973</v>
      </c>
      <c r="M98" s="296"/>
      <c r="N98" s="296"/>
    </row>
    <row r="99" spans="1:14" x14ac:dyDescent="0.25">
      <c r="A99" s="21" t="s">
        <v>554</v>
      </c>
      <c r="B99" s="48">
        <v>0.65786004999999914</v>
      </c>
      <c r="C99" s="203">
        <f t="shared" si="9"/>
        <v>5.5533251104320953E-3</v>
      </c>
      <c r="D99" s="48">
        <v>0.14521795999999987</v>
      </c>
      <c r="E99" s="203">
        <f t="shared" si="10"/>
        <v>1.1005015831978139E-3</v>
      </c>
      <c r="F99" s="48">
        <v>8.3608519999999992E-2</v>
      </c>
      <c r="G99" s="48">
        <v>0.89316052999999873</v>
      </c>
      <c r="H99" s="189">
        <f t="shared" si="11"/>
        <v>0.9767690499999987</v>
      </c>
      <c r="I99" s="203">
        <f t="shared" si="12"/>
        <v>8.3873931819509605E-4</v>
      </c>
      <c r="J99" s="203">
        <f t="shared" si="13"/>
        <v>8.9599583149058224E-3</v>
      </c>
      <c r="K99" s="189">
        <f t="shared" si="14"/>
        <v>572.62275960907289</v>
      </c>
      <c r="L99" s="189">
        <f t="shared" si="15"/>
        <v>48.476723886790211</v>
      </c>
      <c r="M99" s="296"/>
      <c r="N99" s="296"/>
    </row>
    <row r="100" spans="1:14" x14ac:dyDescent="0.25">
      <c r="A100" s="21" t="s">
        <v>553</v>
      </c>
      <c r="B100" s="48">
        <v>0.96780662999999989</v>
      </c>
      <c r="C100" s="203">
        <f t="shared" si="9"/>
        <v>8.1697389291562391E-3</v>
      </c>
      <c r="D100" s="48">
        <v>0.81733341999999953</v>
      </c>
      <c r="E100" s="203">
        <f t="shared" si="10"/>
        <v>6.1939771272815298E-3</v>
      </c>
      <c r="F100" s="48">
        <v>0.68474205999999982</v>
      </c>
      <c r="G100" s="48">
        <v>0.27616918000000001</v>
      </c>
      <c r="H100" s="189">
        <f t="shared" si="11"/>
        <v>0.96091123999999983</v>
      </c>
      <c r="I100" s="203">
        <f t="shared" si="12"/>
        <v>6.8691574560093335E-3</v>
      </c>
      <c r="J100" s="203">
        <f t="shared" si="13"/>
        <v>2.7704586774134838E-3</v>
      </c>
      <c r="K100" s="189">
        <f t="shared" ref="K100:K131" si="16">((H100/D100)-1)*100</f>
        <v>17.566615592447011</v>
      </c>
      <c r="L100" s="189">
        <f t="shared" ref="L100:L136" si="17">((H100/B100)-1)*100</f>
        <v>-0.71247600360002661</v>
      </c>
      <c r="M100" s="296"/>
      <c r="N100" s="296"/>
    </row>
    <row r="101" spans="1:14" x14ac:dyDescent="0.25">
      <c r="A101" s="21" t="s">
        <v>689</v>
      </c>
      <c r="B101" s="48">
        <v>1.4605504799999978</v>
      </c>
      <c r="C101" s="203">
        <f t="shared" si="9"/>
        <v>1.2329235763195603E-2</v>
      </c>
      <c r="D101" s="48">
        <v>2.2452234999999985</v>
      </c>
      <c r="E101" s="203">
        <f t="shared" si="10"/>
        <v>1.7014920305883224E-2</v>
      </c>
      <c r="F101" s="48">
        <v>0.94356980999999873</v>
      </c>
      <c r="G101" s="48"/>
      <c r="H101" s="189">
        <f t="shared" si="11"/>
        <v>0.94356980999999873</v>
      </c>
      <c r="I101" s="203">
        <f t="shared" si="12"/>
        <v>9.4656513368359518E-3</v>
      </c>
      <c r="J101" s="203">
        <f t="shared" si="13"/>
        <v>0</v>
      </c>
      <c r="K101" s="189">
        <f t="shared" si="16"/>
        <v>-57.974348210768355</v>
      </c>
      <c r="L101" s="189">
        <f t="shared" si="17"/>
        <v>-35.396289075883217</v>
      </c>
      <c r="M101" s="296"/>
      <c r="N101" s="296"/>
    </row>
    <row r="102" spans="1:14" x14ac:dyDescent="0.25">
      <c r="A102" s="21" t="s">
        <v>673</v>
      </c>
      <c r="B102" s="48">
        <v>1.333882</v>
      </c>
      <c r="C102" s="203">
        <f t="shared" si="9"/>
        <v>1.1259963885865077E-2</v>
      </c>
      <c r="D102" s="48">
        <v>0.56432970000000005</v>
      </c>
      <c r="E102" s="203">
        <f t="shared" si="10"/>
        <v>4.2766454527769704E-3</v>
      </c>
      <c r="F102" s="48">
        <v>0.92582759999999997</v>
      </c>
      <c r="G102" s="48"/>
      <c r="H102" s="189">
        <f t="shared" si="11"/>
        <v>0.92582759999999997</v>
      </c>
      <c r="I102" s="203">
        <f t="shared" si="12"/>
        <v>9.2876660176522945E-3</v>
      </c>
      <c r="J102" s="203">
        <f t="shared" si="13"/>
        <v>0</v>
      </c>
      <c r="K102" s="189">
        <f t="shared" si="16"/>
        <v>64.057925712575454</v>
      </c>
      <c r="L102" s="189">
        <f t="shared" si="17"/>
        <v>-30.591491601206112</v>
      </c>
      <c r="M102" s="296"/>
      <c r="N102" s="296"/>
    </row>
    <row r="103" spans="1:14" x14ac:dyDescent="0.25">
      <c r="A103" s="21" t="s">
        <v>557</v>
      </c>
      <c r="B103" s="48">
        <v>9.910564999999999E-2</v>
      </c>
      <c r="C103" s="203">
        <f t="shared" si="9"/>
        <v>8.3660026890323438E-4</v>
      </c>
      <c r="D103" s="48">
        <v>0.46720693999999974</v>
      </c>
      <c r="E103" s="203">
        <f t="shared" si="10"/>
        <v>3.5406225039313747E-3</v>
      </c>
      <c r="F103" s="48">
        <v>0.2875670099999999</v>
      </c>
      <c r="G103" s="48">
        <v>0.63722224999999999</v>
      </c>
      <c r="H103" s="189">
        <f t="shared" si="11"/>
        <v>0.92478925999999984</v>
      </c>
      <c r="I103" s="203">
        <f t="shared" si="12"/>
        <v>2.8847987968547025E-3</v>
      </c>
      <c r="J103" s="203">
        <f t="shared" si="13"/>
        <v>6.3924508591199219E-3</v>
      </c>
      <c r="K103" s="189">
        <f t="shared" si="16"/>
        <v>97.939966388341816</v>
      </c>
      <c r="L103" s="189">
        <f t="shared" si="17"/>
        <v>833.13475064237002</v>
      </c>
      <c r="M103" s="296"/>
      <c r="N103" s="296"/>
    </row>
    <row r="104" spans="1:14" x14ac:dyDescent="0.25">
      <c r="A104" s="21" t="s">
        <v>579</v>
      </c>
      <c r="B104" s="48">
        <v>0.22154595999999993</v>
      </c>
      <c r="C104" s="203">
        <f t="shared" si="9"/>
        <v>1.8701800524029172E-3</v>
      </c>
      <c r="D104" s="48">
        <v>0.55559940999999957</v>
      </c>
      <c r="E104" s="203">
        <f t="shared" si="10"/>
        <v>4.2104849174907253E-3</v>
      </c>
      <c r="F104" s="48">
        <v>0.48992948999999991</v>
      </c>
      <c r="G104" s="48">
        <v>0.42466180999999958</v>
      </c>
      <c r="H104" s="189">
        <f t="shared" si="11"/>
        <v>0.91459129999999944</v>
      </c>
      <c r="I104" s="203">
        <f t="shared" si="12"/>
        <v>4.9148475108310866E-3</v>
      </c>
      <c r="J104" s="203">
        <f t="shared" si="13"/>
        <v>4.2600988150836199E-3</v>
      </c>
      <c r="K104" s="189">
        <f t="shared" si="16"/>
        <v>64.613439744293501</v>
      </c>
      <c r="L104" s="189">
        <f t="shared" si="17"/>
        <v>312.8223778036845</v>
      </c>
      <c r="M104" s="296"/>
      <c r="N104" s="296"/>
    </row>
    <row r="105" spans="1:14" x14ac:dyDescent="0.25">
      <c r="A105" s="21" t="s">
        <v>524</v>
      </c>
      <c r="B105" s="48">
        <v>0.30864104999999886</v>
      </c>
      <c r="C105" s="203">
        <f t="shared" si="9"/>
        <v>2.6053931882246439E-3</v>
      </c>
      <c r="D105" s="48">
        <v>0.83616979999999985</v>
      </c>
      <c r="E105" s="203">
        <f t="shared" si="10"/>
        <v>6.3367243881004807E-3</v>
      </c>
      <c r="F105" s="48">
        <v>0.79255018999999982</v>
      </c>
      <c r="G105" s="48">
        <v>8.16838599999999E-2</v>
      </c>
      <c r="H105" s="189">
        <f t="shared" si="11"/>
        <v>0.87423404999999976</v>
      </c>
      <c r="I105" s="203">
        <f t="shared" si="12"/>
        <v>7.9506610809041214E-3</v>
      </c>
      <c r="J105" s="203">
        <f t="shared" si="13"/>
        <v>8.1943162065234031E-4</v>
      </c>
      <c r="K105" s="189">
        <f t="shared" si="16"/>
        <v>4.5522153514752528</v>
      </c>
      <c r="L105" s="189">
        <f t="shared" si="17"/>
        <v>183.2526813915398</v>
      </c>
      <c r="M105" s="296"/>
      <c r="N105" s="296"/>
    </row>
    <row r="106" spans="1:14" x14ac:dyDescent="0.25">
      <c r="A106" s="21" t="s">
        <v>648</v>
      </c>
      <c r="B106" s="48">
        <v>4.1798185399999994</v>
      </c>
      <c r="C106" s="203">
        <f t="shared" si="9"/>
        <v>3.5283935018141997E-2</v>
      </c>
      <c r="D106" s="48">
        <v>1.06807345</v>
      </c>
      <c r="E106" s="203">
        <f t="shared" si="10"/>
        <v>8.0941539372716177E-3</v>
      </c>
      <c r="F106" s="48">
        <v>0.73413551999999993</v>
      </c>
      <c r="G106" s="48"/>
      <c r="H106" s="189">
        <f t="shared" si="11"/>
        <v>0.73413551999999993</v>
      </c>
      <c r="I106" s="203">
        <f t="shared" si="12"/>
        <v>7.364660031149964E-3</v>
      </c>
      <c r="J106" s="203">
        <f t="shared" si="13"/>
        <v>0</v>
      </c>
      <c r="K106" s="189">
        <f t="shared" si="16"/>
        <v>-31.265446210651525</v>
      </c>
      <c r="L106" s="189">
        <f t="shared" si="17"/>
        <v>-82.436186811114538</v>
      </c>
      <c r="M106" s="296"/>
      <c r="N106" s="296"/>
    </row>
    <row r="107" spans="1:14" x14ac:dyDescent="0.25">
      <c r="A107" s="21" t="s">
        <v>657</v>
      </c>
      <c r="B107" s="48">
        <v>41.6460782999999</v>
      </c>
      <c r="C107" s="203">
        <f t="shared" si="9"/>
        <v>0.35155533821275653</v>
      </c>
      <c r="D107" s="48">
        <v>1.3198734199999991</v>
      </c>
      <c r="E107" s="203">
        <f t="shared" si="10"/>
        <v>1.0002363263681114E-2</v>
      </c>
      <c r="F107" s="48">
        <v>0.69590890000000005</v>
      </c>
      <c r="G107" s="48"/>
      <c r="H107" s="189">
        <f t="shared" si="11"/>
        <v>0.69590890000000005</v>
      </c>
      <c r="I107" s="203">
        <f t="shared" si="12"/>
        <v>6.981180342767691E-3</v>
      </c>
      <c r="J107" s="203">
        <f t="shared" si="13"/>
        <v>0</v>
      </c>
      <c r="K107" s="189">
        <f t="shared" si="16"/>
        <v>-47.274572738952457</v>
      </c>
      <c r="L107" s="189">
        <f t="shared" si="17"/>
        <v>-98.32899296066492</v>
      </c>
      <c r="M107" s="296"/>
      <c r="N107" s="296"/>
    </row>
    <row r="108" spans="1:14" x14ac:dyDescent="0.25">
      <c r="A108" s="21" t="s">
        <v>559</v>
      </c>
      <c r="B108" s="48">
        <v>1.9934744999999983</v>
      </c>
      <c r="C108" s="203">
        <f t="shared" si="9"/>
        <v>1.6827913471651107E-2</v>
      </c>
      <c r="D108" s="48">
        <v>2.2003583099999968</v>
      </c>
      <c r="E108" s="203">
        <f t="shared" si="10"/>
        <v>1.6674919574393314E-2</v>
      </c>
      <c r="F108" s="48">
        <v>0.60260791999999996</v>
      </c>
      <c r="G108" s="48"/>
      <c r="H108" s="189">
        <f t="shared" si="11"/>
        <v>0.60260791999999996</v>
      </c>
      <c r="I108" s="203">
        <f t="shared" si="12"/>
        <v>6.0452087414029701E-3</v>
      </c>
      <c r="J108" s="203">
        <f t="shared" si="13"/>
        <v>0</v>
      </c>
      <c r="K108" s="189">
        <f t="shared" si="16"/>
        <v>-72.613191348821687</v>
      </c>
      <c r="L108" s="189">
        <f t="shared" si="17"/>
        <v>-69.770974246221826</v>
      </c>
      <c r="M108" s="296"/>
      <c r="N108" s="296"/>
    </row>
    <row r="109" spans="1:14" x14ac:dyDescent="0.25">
      <c r="A109" s="21" t="s">
        <v>528</v>
      </c>
      <c r="B109" s="48">
        <v>1.07912608</v>
      </c>
      <c r="C109" s="203">
        <f t="shared" si="9"/>
        <v>9.1094419814459968E-3</v>
      </c>
      <c r="D109" s="48">
        <v>0.49978077999999992</v>
      </c>
      <c r="E109" s="203">
        <f t="shared" si="10"/>
        <v>3.7874760094539187E-3</v>
      </c>
      <c r="F109" s="48">
        <v>0.17309735999999987</v>
      </c>
      <c r="G109" s="48">
        <v>0.42058221999999995</v>
      </c>
      <c r="H109" s="189">
        <f t="shared" si="11"/>
        <v>0.59367957999999987</v>
      </c>
      <c r="I109" s="203">
        <f t="shared" si="12"/>
        <v>1.7364685047381657E-3</v>
      </c>
      <c r="J109" s="203">
        <f t="shared" si="13"/>
        <v>4.2191734101713549E-3</v>
      </c>
      <c r="K109" s="189">
        <f t="shared" si="16"/>
        <v>18.787997409584257</v>
      </c>
      <c r="L109" s="189">
        <f t="shared" si="17"/>
        <v>-44.985151317999851</v>
      </c>
      <c r="M109" s="296"/>
      <c r="N109" s="296"/>
    </row>
    <row r="110" spans="1:14" x14ac:dyDescent="0.25">
      <c r="A110" s="21" t="s">
        <v>666</v>
      </c>
      <c r="B110" s="48">
        <v>54.760316990000007</v>
      </c>
      <c r="C110" s="203">
        <f t="shared" si="9"/>
        <v>0.4622591741142949</v>
      </c>
      <c r="D110" s="48">
        <v>903.29715871999997</v>
      </c>
      <c r="E110" s="203">
        <f t="shared" si="10"/>
        <v>6.8454339481800188</v>
      </c>
      <c r="F110" s="48">
        <v>0.56573296000000006</v>
      </c>
      <c r="G110" s="48"/>
      <c r="H110" s="189">
        <f t="shared" si="11"/>
        <v>0.56573296000000006</v>
      </c>
      <c r="I110" s="203">
        <f t="shared" si="12"/>
        <v>5.6752885609133337E-3</v>
      </c>
      <c r="J110" s="203">
        <f t="shared" si="13"/>
        <v>0</v>
      </c>
      <c r="K110" s="189">
        <f t="shared" si="16"/>
        <v>-99.937370227002404</v>
      </c>
      <c r="L110" s="189">
        <f t="shared" si="17"/>
        <v>-98.966892466850936</v>
      </c>
      <c r="M110" s="296"/>
      <c r="N110" s="296"/>
    </row>
    <row r="111" spans="1:14" x14ac:dyDescent="0.25">
      <c r="A111" s="21" t="s">
        <v>617</v>
      </c>
      <c r="B111" s="48">
        <v>0.35329692999999884</v>
      </c>
      <c r="C111" s="203">
        <f t="shared" si="9"/>
        <v>2.9823557651928647E-3</v>
      </c>
      <c r="D111" s="48">
        <v>1.5471678699999996</v>
      </c>
      <c r="E111" s="203">
        <f t="shared" si="10"/>
        <v>1.1724863029392444E-2</v>
      </c>
      <c r="F111" s="48">
        <v>0.23915387999999974</v>
      </c>
      <c r="G111" s="48">
        <v>0.26427559999999878</v>
      </c>
      <c r="H111" s="189">
        <f t="shared" si="11"/>
        <v>0.50342947999999854</v>
      </c>
      <c r="I111" s="203">
        <f t="shared" si="12"/>
        <v>2.3991306418880711E-3</v>
      </c>
      <c r="J111" s="203">
        <f t="shared" si="13"/>
        <v>2.6511453205917165E-3</v>
      </c>
      <c r="K111" s="189">
        <f t="shared" si="16"/>
        <v>-67.461224488846284</v>
      </c>
      <c r="L111" s="189">
        <f t="shared" si="17"/>
        <v>42.494722498720883</v>
      </c>
      <c r="M111" s="296"/>
      <c r="N111" s="296"/>
    </row>
    <row r="112" spans="1:14" x14ac:dyDescent="0.25">
      <c r="A112" s="21" t="s">
        <v>688</v>
      </c>
      <c r="B112" s="48">
        <v>0</v>
      </c>
      <c r="C112" s="203">
        <f t="shared" si="9"/>
        <v>0</v>
      </c>
      <c r="D112" s="48">
        <v>0</v>
      </c>
      <c r="E112" s="203">
        <f t="shared" si="10"/>
        <v>0</v>
      </c>
      <c r="F112" s="48">
        <v>0.49875000000000003</v>
      </c>
      <c r="G112" s="48"/>
      <c r="H112" s="189">
        <f t="shared" si="11"/>
        <v>0.49875000000000003</v>
      </c>
      <c r="I112" s="203">
        <f t="shared" si="12"/>
        <v>5.0033326143053879E-3</v>
      </c>
      <c r="J112" s="203">
        <f t="shared" si="13"/>
        <v>0</v>
      </c>
      <c r="K112" s="189" t="s">
        <v>240</v>
      </c>
      <c r="L112" s="189" t="s">
        <v>240</v>
      </c>
      <c r="M112" s="296"/>
      <c r="N112" s="296"/>
    </row>
    <row r="113" spans="1:14" x14ac:dyDescent="0.25">
      <c r="A113" s="21" t="s">
        <v>546</v>
      </c>
      <c r="B113" s="48">
        <v>7.7964141499999995</v>
      </c>
      <c r="C113" s="203">
        <f t="shared" si="9"/>
        <v>6.5813424102167561E-2</v>
      </c>
      <c r="D113" s="48">
        <v>2.8332798199999987</v>
      </c>
      <c r="E113" s="203">
        <f t="shared" si="10"/>
        <v>2.1471372601243117E-2</v>
      </c>
      <c r="F113" s="48">
        <v>0.3669237099999999</v>
      </c>
      <c r="G113" s="48">
        <v>9.7286729999999905E-2</v>
      </c>
      <c r="H113" s="189">
        <f t="shared" si="11"/>
        <v>0.46421043999999978</v>
      </c>
      <c r="I113" s="203">
        <f t="shared" si="12"/>
        <v>3.6808849427667797E-3</v>
      </c>
      <c r="J113" s="203">
        <f t="shared" si="13"/>
        <v>9.7595562736465537E-4</v>
      </c>
      <c r="K113" s="189">
        <f t="shared" si="16"/>
        <v>-83.615792668159401</v>
      </c>
      <c r="L113" s="189">
        <f t="shared" si="17"/>
        <v>-94.045846833316318</v>
      </c>
      <c r="M113" s="296"/>
      <c r="N113" s="296"/>
    </row>
    <row r="114" spans="1:14" x14ac:dyDescent="0.25">
      <c r="A114" s="21" t="s">
        <v>590</v>
      </c>
      <c r="B114" s="48">
        <v>0</v>
      </c>
      <c r="C114" s="203">
        <f t="shared" si="9"/>
        <v>0</v>
      </c>
      <c r="D114" s="48">
        <v>0.45881571000000004</v>
      </c>
      <c r="E114" s="203">
        <f t="shared" si="10"/>
        <v>3.4770314584437736E-3</v>
      </c>
      <c r="F114" s="48">
        <v>0.456613299999999</v>
      </c>
      <c r="G114" s="48"/>
      <c r="H114" s="189">
        <f t="shared" si="11"/>
        <v>0.456613299999999</v>
      </c>
      <c r="I114" s="203">
        <f t="shared" si="12"/>
        <v>4.5806280020363006E-3</v>
      </c>
      <c r="J114" s="203">
        <f t="shared" si="13"/>
        <v>0</v>
      </c>
      <c r="K114" s="189">
        <f t="shared" si="16"/>
        <v>-0.48002061655670891</v>
      </c>
      <c r="L114" s="189" t="s">
        <v>240</v>
      </c>
      <c r="M114" s="296"/>
      <c r="N114" s="296"/>
    </row>
    <row r="115" spans="1:14" x14ac:dyDescent="0.25">
      <c r="A115" s="21" t="s">
        <v>548</v>
      </c>
      <c r="B115" s="48">
        <v>0.70444048999999898</v>
      </c>
      <c r="C115" s="203">
        <f t="shared" si="9"/>
        <v>5.9465338591727663E-3</v>
      </c>
      <c r="D115" s="48">
        <v>1.1456854099999998</v>
      </c>
      <c r="E115" s="203">
        <f t="shared" si="10"/>
        <v>8.6823186853171429E-3</v>
      </c>
      <c r="F115" s="48">
        <v>0.25404409000000006</v>
      </c>
      <c r="G115" s="48">
        <v>0.2006988499999999</v>
      </c>
      <c r="H115" s="189">
        <f t="shared" si="11"/>
        <v>0.45474293999999993</v>
      </c>
      <c r="I115" s="203">
        <f t="shared" si="12"/>
        <v>2.5485054255008186E-3</v>
      </c>
      <c r="J115" s="203">
        <f t="shared" si="13"/>
        <v>2.0133596027239781E-3</v>
      </c>
      <c r="K115" s="189">
        <f t="shared" si="16"/>
        <v>-60.308219339198878</v>
      </c>
      <c r="L115" s="189">
        <f t="shared" si="17"/>
        <v>-35.446223427616921</v>
      </c>
      <c r="M115" s="296"/>
      <c r="N115" s="296"/>
    </row>
    <row r="116" spans="1:14" x14ac:dyDescent="0.25">
      <c r="A116" s="21" t="s">
        <v>538</v>
      </c>
      <c r="B116" s="48">
        <v>6.6016740000000004E-2</v>
      </c>
      <c r="C116" s="203">
        <f t="shared" si="9"/>
        <v>5.5728026036976628E-4</v>
      </c>
      <c r="D116" s="48">
        <v>0.33767320000000001</v>
      </c>
      <c r="E116" s="203">
        <f t="shared" si="10"/>
        <v>2.5589802473707274E-3</v>
      </c>
      <c r="F116" s="48">
        <v>0.40506257000000001</v>
      </c>
      <c r="G116" s="48">
        <v>2.6233669999999997E-2</v>
      </c>
      <c r="H116" s="189">
        <f t="shared" si="11"/>
        <v>0.43129624</v>
      </c>
      <c r="I116" s="203">
        <f t="shared" si="12"/>
        <v>4.063484245243827E-3</v>
      </c>
      <c r="J116" s="203">
        <f t="shared" si="13"/>
        <v>2.6316947710060111E-4</v>
      </c>
      <c r="K116" s="189">
        <f t="shared" si="16"/>
        <v>27.725931462727861</v>
      </c>
      <c r="L116" s="189">
        <f t="shared" si="17"/>
        <v>553.31344746802097</v>
      </c>
      <c r="M116" s="296"/>
      <c r="N116" s="296"/>
    </row>
    <row r="117" spans="1:14" x14ac:dyDescent="0.25">
      <c r="A117" s="21" t="s">
        <v>572</v>
      </c>
      <c r="B117" s="48">
        <v>0.11819331999999991</v>
      </c>
      <c r="C117" s="203">
        <f t="shared" si="9"/>
        <v>9.9772882065317131E-4</v>
      </c>
      <c r="D117" s="48">
        <v>1.6890909399999998</v>
      </c>
      <c r="E117" s="203">
        <f t="shared" si="10"/>
        <v>1.2800395031269446E-2</v>
      </c>
      <c r="F117" s="48">
        <v>0.43106354999999991</v>
      </c>
      <c r="G117" s="48"/>
      <c r="H117" s="189">
        <f t="shared" si="11"/>
        <v>0.43106354999999991</v>
      </c>
      <c r="I117" s="203">
        <f t="shared" si="12"/>
        <v>4.3243194356957608E-3</v>
      </c>
      <c r="J117" s="203">
        <f t="shared" si="13"/>
        <v>0</v>
      </c>
      <c r="K117" s="189">
        <f t="shared" si="16"/>
        <v>-74.47955348099849</v>
      </c>
      <c r="L117" s="189">
        <f t="shared" si="17"/>
        <v>264.71058601281379</v>
      </c>
      <c r="M117" s="296"/>
      <c r="N117" s="296"/>
    </row>
    <row r="118" spans="1:14" x14ac:dyDescent="0.25">
      <c r="A118" s="21" t="s">
        <v>594</v>
      </c>
      <c r="B118" s="48">
        <v>0.362189599999999</v>
      </c>
      <c r="C118" s="203">
        <f t="shared" si="9"/>
        <v>3.0574232322168726E-3</v>
      </c>
      <c r="D118" s="48">
        <v>8.58182799999999E-2</v>
      </c>
      <c r="E118" s="203">
        <f t="shared" si="10"/>
        <v>6.5035449476988426E-4</v>
      </c>
      <c r="F118" s="48">
        <v>0.42510734999999988</v>
      </c>
      <c r="G118" s="48"/>
      <c r="H118" s="189">
        <f t="shared" si="11"/>
        <v>0.42510734999999988</v>
      </c>
      <c r="I118" s="203">
        <f t="shared" si="12"/>
        <v>4.2645683585682903E-3</v>
      </c>
      <c r="J118" s="203">
        <f t="shared" si="13"/>
        <v>0</v>
      </c>
      <c r="K118" s="189">
        <f t="shared" si="16"/>
        <v>395.35757416718252</v>
      </c>
      <c r="L118" s="189">
        <f t="shared" si="17"/>
        <v>17.371495481924669</v>
      </c>
      <c r="M118" s="296"/>
      <c r="N118" s="296"/>
    </row>
    <row r="119" spans="1:14" x14ac:dyDescent="0.25">
      <c r="A119" s="21" t="s">
        <v>697</v>
      </c>
      <c r="B119" s="48">
        <v>6.3501000000000002E-2</v>
      </c>
      <c r="C119" s="203">
        <f t="shared" si="9"/>
        <v>5.3604364307811207E-4</v>
      </c>
      <c r="D119" s="48">
        <v>1.1075310800000002</v>
      </c>
      <c r="E119" s="203">
        <f t="shared" si="10"/>
        <v>8.3931746939620005E-3</v>
      </c>
      <c r="F119" s="48">
        <v>5.2647359999999997E-2</v>
      </c>
      <c r="G119" s="48">
        <v>0.3689739899999997</v>
      </c>
      <c r="H119" s="189">
        <f t="shared" si="11"/>
        <v>0.42162134999999967</v>
      </c>
      <c r="I119" s="203">
        <f t="shared" si="12"/>
        <v>5.281448688623095E-4</v>
      </c>
      <c r="J119" s="203">
        <f t="shared" si="13"/>
        <v>3.7014528280649383E-3</v>
      </c>
      <c r="K119" s="189" t="s">
        <v>240</v>
      </c>
      <c r="L119" s="189">
        <f t="shared" si="17"/>
        <v>563.96017385552932</v>
      </c>
      <c r="M119" s="296"/>
      <c r="N119" s="296"/>
    </row>
    <row r="120" spans="1:14" x14ac:dyDescent="0.25">
      <c r="A120" s="21" t="s">
        <v>700</v>
      </c>
      <c r="B120" s="48">
        <v>1.1048000000000001E-2</v>
      </c>
      <c r="C120" s="203">
        <f t="shared" si="9"/>
        <v>9.3261683575486729E-5</v>
      </c>
      <c r="D120" s="48">
        <v>6.2109179999999986E-2</v>
      </c>
      <c r="E120" s="203">
        <f t="shared" si="10"/>
        <v>4.7068042355861528E-4</v>
      </c>
      <c r="F120" s="48">
        <v>3.201964999999999E-2</v>
      </c>
      <c r="G120" s="48">
        <v>0.38130796999999894</v>
      </c>
      <c r="H120" s="189">
        <f t="shared" si="11"/>
        <v>0.41332761999999895</v>
      </c>
      <c r="I120" s="203">
        <f t="shared" si="12"/>
        <v>3.2121295066394673E-4</v>
      </c>
      <c r="J120" s="203">
        <f t="shared" si="13"/>
        <v>3.8251841652041595E-3</v>
      </c>
      <c r="K120" s="189">
        <f t="shared" si="16"/>
        <v>565.48555302130706</v>
      </c>
      <c r="L120" s="189">
        <f t="shared" si="17"/>
        <v>3641.1985879797148</v>
      </c>
      <c r="M120" s="296"/>
      <c r="N120" s="296"/>
    </row>
    <row r="121" spans="1:14" x14ac:dyDescent="0.25">
      <c r="A121" s="21" t="s">
        <v>642</v>
      </c>
      <c r="B121" s="48">
        <v>1.10644E-2</v>
      </c>
      <c r="C121" s="203">
        <f t="shared" si="9"/>
        <v>9.3400124162981105E-5</v>
      </c>
      <c r="D121" s="48">
        <v>7.7280210000000002E-2</v>
      </c>
      <c r="E121" s="203">
        <f t="shared" si="10"/>
        <v>5.8565065543449049E-4</v>
      </c>
      <c r="F121" s="48"/>
      <c r="G121" s="48">
        <v>0.40710116000000002</v>
      </c>
      <c r="H121" s="189">
        <f t="shared" si="11"/>
        <v>0.40710116000000002</v>
      </c>
      <c r="I121" s="203">
        <f t="shared" si="12"/>
        <v>0</v>
      </c>
      <c r="J121" s="203">
        <f t="shared" si="13"/>
        <v>4.0839348594477309E-3</v>
      </c>
      <c r="K121" s="189">
        <f t="shared" si="16"/>
        <v>426.7857838378028</v>
      </c>
      <c r="L121" s="189">
        <f t="shared" si="17"/>
        <v>3579.378547413326</v>
      </c>
      <c r="M121" s="296"/>
      <c r="N121" s="296"/>
    </row>
    <row r="122" spans="1:14" x14ac:dyDescent="0.25">
      <c r="A122" s="21" t="s">
        <v>497</v>
      </c>
      <c r="B122" s="48">
        <v>0.20309660999999987</v>
      </c>
      <c r="C122" s="203">
        <f t="shared" si="9"/>
        <v>1.7144398784462362E-3</v>
      </c>
      <c r="D122" s="48">
        <v>1.0866231399999995</v>
      </c>
      <c r="E122" s="203">
        <f t="shared" si="10"/>
        <v>8.234728582534696E-3</v>
      </c>
      <c r="F122" s="48">
        <v>0.38984211999999979</v>
      </c>
      <c r="G122" s="48"/>
      <c r="H122" s="189">
        <f t="shared" si="11"/>
        <v>0.38984211999999979</v>
      </c>
      <c r="I122" s="203">
        <f t="shared" si="12"/>
        <v>3.9107965782976513E-3</v>
      </c>
      <c r="J122" s="203">
        <f t="shared" si="13"/>
        <v>0</v>
      </c>
      <c r="K122" s="189" t="s">
        <v>240</v>
      </c>
      <c r="L122" s="189">
        <f t="shared" si="17"/>
        <v>91.949102449322041</v>
      </c>
      <c r="M122" s="296"/>
      <c r="N122" s="296"/>
    </row>
    <row r="123" spans="1:14" x14ac:dyDescent="0.25">
      <c r="A123" s="21" t="s">
        <v>719</v>
      </c>
      <c r="B123" s="48">
        <v>0.21791797999999901</v>
      </c>
      <c r="C123" s="203">
        <f t="shared" si="9"/>
        <v>1.8395544619993799E-3</v>
      </c>
      <c r="D123" s="48">
        <v>0.28695696999999998</v>
      </c>
      <c r="E123" s="203">
        <f t="shared" si="10"/>
        <v>2.1746387278450121E-3</v>
      </c>
      <c r="F123" s="48">
        <v>0.38279872000000004</v>
      </c>
      <c r="G123" s="48"/>
      <c r="H123" s="189">
        <f t="shared" si="11"/>
        <v>0.38279872000000004</v>
      </c>
      <c r="I123" s="203">
        <f t="shared" si="12"/>
        <v>3.8401389884518415E-3</v>
      </c>
      <c r="J123" s="203">
        <f t="shared" si="13"/>
        <v>0</v>
      </c>
      <c r="K123" s="189">
        <f t="shared" si="16"/>
        <v>33.399345553446594</v>
      </c>
      <c r="L123" s="189">
        <f t="shared" si="17"/>
        <v>75.661833869789803</v>
      </c>
      <c r="M123" s="296"/>
      <c r="N123" s="296"/>
    </row>
    <row r="124" spans="1:14" x14ac:dyDescent="0.25">
      <c r="A124" s="21" t="s">
        <v>558</v>
      </c>
      <c r="B124" s="48">
        <v>1.07289532</v>
      </c>
      <c r="C124" s="203">
        <f t="shared" si="9"/>
        <v>9.0568450256571838E-3</v>
      </c>
      <c r="D124" s="48">
        <v>1.1490559500000002</v>
      </c>
      <c r="E124" s="203">
        <f t="shared" si="10"/>
        <v>8.7078615631142973E-3</v>
      </c>
      <c r="F124" s="48">
        <v>0.15694551000000001</v>
      </c>
      <c r="G124" s="48">
        <v>0.22359158000000004</v>
      </c>
      <c r="H124" s="189">
        <f t="shared" si="11"/>
        <v>0.38053709000000002</v>
      </c>
      <c r="I124" s="203">
        <f t="shared" si="12"/>
        <v>1.5744372708807865E-3</v>
      </c>
      <c r="J124" s="203">
        <f t="shared" si="13"/>
        <v>2.243013623053779E-3</v>
      </c>
      <c r="K124" s="189">
        <f t="shared" si="16"/>
        <v>-66.882631781333188</v>
      </c>
      <c r="L124" s="189">
        <f t="shared" si="17"/>
        <v>-64.531759724704557</v>
      </c>
      <c r="M124" s="296"/>
      <c r="N124" s="296"/>
    </row>
    <row r="125" spans="1:14" x14ac:dyDescent="0.25">
      <c r="A125" s="21" t="s">
        <v>506</v>
      </c>
      <c r="B125" s="48">
        <v>0.37310587999999895</v>
      </c>
      <c r="C125" s="203">
        <f t="shared" si="9"/>
        <v>3.1495730015128E-3</v>
      </c>
      <c r="D125" s="48">
        <v>0.65297132999999907</v>
      </c>
      <c r="E125" s="203">
        <f t="shared" si="10"/>
        <v>4.9483960692450297E-3</v>
      </c>
      <c r="F125" s="48">
        <v>0.36864425999999995</v>
      </c>
      <c r="G125" s="48"/>
      <c r="H125" s="189">
        <f t="shared" si="11"/>
        <v>0.36864425999999995</v>
      </c>
      <c r="I125" s="203">
        <f t="shared" si="12"/>
        <v>3.6981450609212523E-3</v>
      </c>
      <c r="J125" s="203">
        <f t="shared" si="13"/>
        <v>0</v>
      </c>
      <c r="K125" s="189">
        <f t="shared" si="16"/>
        <v>-43.54357640786457</v>
      </c>
      <c r="L125" s="189">
        <f t="shared" si="17"/>
        <v>-1.195805330111388</v>
      </c>
      <c r="M125" s="296"/>
      <c r="N125" s="296"/>
    </row>
    <row r="126" spans="1:14" x14ac:dyDescent="0.25">
      <c r="A126" s="21" t="s">
        <v>725</v>
      </c>
      <c r="B126" s="48">
        <v>5.3114660000000001E-2</v>
      </c>
      <c r="C126" s="203">
        <f t="shared" si="9"/>
        <v>4.483673618880849E-4</v>
      </c>
      <c r="D126" s="48">
        <v>3.7165539999999997E-2</v>
      </c>
      <c r="E126" s="203">
        <f t="shared" si="10"/>
        <v>2.8165066917619361E-4</v>
      </c>
      <c r="F126" s="48">
        <v>0.33753358</v>
      </c>
      <c r="G126" s="48"/>
      <c r="H126" s="189">
        <f t="shared" si="11"/>
        <v>0.33753358</v>
      </c>
      <c r="I126" s="203">
        <f t="shared" si="12"/>
        <v>3.3860506651373565E-3</v>
      </c>
      <c r="J126" s="203">
        <f t="shared" si="13"/>
        <v>0</v>
      </c>
      <c r="K126" s="189">
        <f t="shared" si="16"/>
        <v>808.18962942553776</v>
      </c>
      <c r="L126" s="189">
        <f t="shared" si="17"/>
        <v>535.48101409290769</v>
      </c>
      <c r="M126" s="296"/>
      <c r="N126" s="296"/>
    </row>
    <row r="127" spans="1:14" x14ac:dyDescent="0.25">
      <c r="A127" s="21" t="s">
        <v>534</v>
      </c>
      <c r="B127" s="48">
        <v>0.57326412999999998</v>
      </c>
      <c r="C127" s="203">
        <f t="shared" si="9"/>
        <v>4.839208716259656E-3</v>
      </c>
      <c r="D127" s="48">
        <v>8.8066776699999902</v>
      </c>
      <c r="E127" s="203">
        <f t="shared" si="10"/>
        <v>6.6739422028431153E-2</v>
      </c>
      <c r="F127" s="48">
        <v>0.15487180999999972</v>
      </c>
      <c r="G127" s="48">
        <v>0.17805161999999988</v>
      </c>
      <c r="H127" s="189">
        <f t="shared" si="11"/>
        <v>0.33292342999999958</v>
      </c>
      <c r="I127" s="203">
        <f t="shared" si="12"/>
        <v>1.5536344421243223E-3</v>
      </c>
      <c r="J127" s="203">
        <f t="shared" si="13"/>
        <v>1.786168375691045E-3</v>
      </c>
      <c r="K127" s="189">
        <f t="shared" si="16"/>
        <v>-96.219647834573237</v>
      </c>
      <c r="L127" s="189">
        <f t="shared" si="17"/>
        <v>-41.924950022601351</v>
      </c>
      <c r="M127" s="296"/>
      <c r="N127" s="296"/>
    </row>
    <row r="128" spans="1:14" x14ac:dyDescent="0.25">
      <c r="A128" s="21" t="s">
        <v>690</v>
      </c>
      <c r="B128" s="48">
        <v>5.8484625099999903</v>
      </c>
      <c r="C128" s="203">
        <f t="shared" si="9"/>
        <v>4.9369791818493478E-2</v>
      </c>
      <c r="D128" s="48">
        <v>0.4654071999999998</v>
      </c>
      <c r="E128" s="203">
        <f t="shared" si="10"/>
        <v>3.5269835799350293E-3</v>
      </c>
      <c r="F128" s="48">
        <v>3.6000000000000002E-4</v>
      </c>
      <c r="G128" s="48">
        <v>0.32426152999999996</v>
      </c>
      <c r="H128" s="189">
        <f t="shared" si="11"/>
        <v>0.32462152999999999</v>
      </c>
      <c r="I128" s="203">
        <f t="shared" si="12"/>
        <v>3.6114280524309559E-6</v>
      </c>
      <c r="J128" s="203">
        <f t="shared" si="13"/>
        <v>3.252908849350505E-3</v>
      </c>
      <c r="K128" s="189">
        <f t="shared" si="16"/>
        <v>-30.249998281075129</v>
      </c>
      <c r="L128" s="189">
        <f t="shared" si="17"/>
        <v>-94.449455229559121</v>
      </c>
      <c r="M128" s="296"/>
      <c r="N128" s="296"/>
    </row>
    <row r="129" spans="1:14" x14ac:dyDescent="0.25">
      <c r="A129" s="21" t="s">
        <v>972</v>
      </c>
      <c r="B129" s="48">
        <v>0.31016727999999949</v>
      </c>
      <c r="C129" s="203">
        <f t="shared" si="9"/>
        <v>2.6182768576058419E-3</v>
      </c>
      <c r="D129" s="48">
        <v>0.39384041000000003</v>
      </c>
      <c r="E129" s="203">
        <f t="shared" si="10"/>
        <v>2.9846307903807255E-3</v>
      </c>
      <c r="F129" s="48">
        <v>0.13182037999999999</v>
      </c>
      <c r="G129" s="48">
        <v>0.19040619999999889</v>
      </c>
      <c r="H129" s="189">
        <f t="shared" si="11"/>
        <v>0.32222657999999887</v>
      </c>
      <c r="I129" s="203">
        <f t="shared" si="12"/>
        <v>1.3223883839280793E-3</v>
      </c>
      <c r="J129" s="203">
        <f t="shared" si="13"/>
        <v>1.9101063667688197E-3</v>
      </c>
      <c r="K129" s="189">
        <f t="shared" si="16"/>
        <v>-18.18346421079573</v>
      </c>
      <c r="L129" s="189">
        <f t="shared" si="17"/>
        <v>3.8879987598947841</v>
      </c>
      <c r="M129" s="296"/>
      <c r="N129" s="296"/>
    </row>
    <row r="130" spans="1:14" x14ac:dyDescent="0.25">
      <c r="A130" s="21" t="s">
        <v>564</v>
      </c>
      <c r="B130" s="48">
        <v>0</v>
      </c>
      <c r="C130" s="203">
        <f t="shared" si="9"/>
        <v>0</v>
      </c>
      <c r="D130" s="48">
        <v>9.6000000000000002E-5</v>
      </c>
      <c r="E130" s="203">
        <f t="shared" si="10"/>
        <v>7.2751436521343667E-7</v>
      </c>
      <c r="F130" s="48">
        <v>0.31825398999999899</v>
      </c>
      <c r="G130" s="48"/>
      <c r="H130" s="189">
        <f t="shared" si="11"/>
        <v>0.31825398999999899</v>
      </c>
      <c r="I130" s="203">
        <f t="shared" si="12"/>
        <v>3.1926427424557699E-3</v>
      </c>
      <c r="J130" s="203">
        <f t="shared" si="13"/>
        <v>0</v>
      </c>
      <c r="K130" s="189">
        <f t="shared" si="16"/>
        <v>331414.57291666564</v>
      </c>
      <c r="L130" s="189" t="s">
        <v>240</v>
      </c>
      <c r="M130" s="296"/>
      <c r="N130" s="296"/>
    </row>
    <row r="131" spans="1:14" x14ac:dyDescent="0.25">
      <c r="A131" s="21" t="s">
        <v>611</v>
      </c>
      <c r="B131" s="48">
        <v>0.3836840299999989</v>
      </c>
      <c r="C131" s="203">
        <f t="shared" si="9"/>
        <v>3.238868446671565E-3</v>
      </c>
      <c r="D131" s="48">
        <v>7.9389700000000001E-3</v>
      </c>
      <c r="E131" s="203">
        <f t="shared" si="10"/>
        <v>6.0163694999984558E-5</v>
      </c>
      <c r="F131" s="48"/>
      <c r="G131" s="48">
        <v>0.30308757000000003</v>
      </c>
      <c r="H131" s="189">
        <f t="shared" si="11"/>
        <v>0.30308757000000003</v>
      </c>
      <c r="I131" s="203">
        <f t="shared" si="12"/>
        <v>0</v>
      </c>
      <c r="J131" s="203">
        <f t="shared" si="13"/>
        <v>3.0404970906698085E-3</v>
      </c>
      <c r="K131" s="189">
        <f t="shared" si="16"/>
        <v>3717.7190491965584</v>
      </c>
      <c r="L131" s="189">
        <f t="shared" si="17"/>
        <v>-21.005945960273376</v>
      </c>
      <c r="M131" s="296"/>
      <c r="N131" s="296"/>
    </row>
    <row r="132" spans="1:14" x14ac:dyDescent="0.25">
      <c r="A132" s="21" t="s">
        <v>621</v>
      </c>
      <c r="B132" s="48">
        <v>0.62370241999999987</v>
      </c>
      <c r="C132" s="203">
        <f t="shared" ref="C132:C195" si="18">(B132/$B$245)*100</f>
        <v>5.2649835028335716E-3</v>
      </c>
      <c r="D132" s="48">
        <v>1.4258347999999996</v>
      </c>
      <c r="E132" s="203">
        <f t="shared" ref="E132:E195" si="19">(D132/$D$245)*100</f>
        <v>1.080536770230445E-2</v>
      </c>
      <c r="F132" s="48">
        <v>0.27369478999999985</v>
      </c>
      <c r="G132" s="48">
        <v>2.6231439999999898E-2</v>
      </c>
      <c r="H132" s="189">
        <f t="shared" ref="H132:H195" si="20">F132+G132</f>
        <v>0.29992622999999974</v>
      </c>
      <c r="I132" s="203">
        <f t="shared" ref="I132:I195" si="21">(F132/$H$245)*100</f>
        <v>2.7456362289172195E-3</v>
      </c>
      <c r="J132" s="203">
        <f t="shared" ref="J132:J195" si="22">(G132/$H$245)*100</f>
        <v>2.6314710631016416E-4</v>
      </c>
      <c r="K132" s="189">
        <f t="shared" ref="K132:K137" si="23">((H132/D132)-1)*100</f>
        <v>-78.964868160042116</v>
      </c>
      <c r="L132" s="189">
        <f t="shared" si="17"/>
        <v>-51.911966286742995</v>
      </c>
      <c r="M132" s="296"/>
      <c r="N132" s="296"/>
    </row>
    <row r="133" spans="1:14" x14ac:dyDescent="0.25">
      <c r="A133" s="21" t="s">
        <v>581</v>
      </c>
      <c r="B133" s="48">
        <v>0.62065036999999901</v>
      </c>
      <c r="C133" s="203">
        <f t="shared" si="18"/>
        <v>5.2392196250858674E-3</v>
      </c>
      <c r="D133" s="48">
        <v>2.5538876399999983</v>
      </c>
      <c r="E133" s="203">
        <f t="shared" si="19"/>
        <v>1.9354061929594171E-2</v>
      </c>
      <c r="F133" s="48">
        <v>0.2592176699999999</v>
      </c>
      <c r="G133" s="48">
        <v>3.08325099999999E-2</v>
      </c>
      <c r="H133" s="189">
        <f t="shared" si="20"/>
        <v>0.29005017999999982</v>
      </c>
      <c r="I133" s="203">
        <f t="shared" si="21"/>
        <v>2.6004054586771944E-3</v>
      </c>
      <c r="J133" s="203">
        <f t="shared" si="22"/>
        <v>3.0930386539127115E-4</v>
      </c>
      <c r="K133" s="189" t="s">
        <v>240</v>
      </c>
      <c r="L133" s="189">
        <f t="shared" si="17"/>
        <v>-53.266735344087479</v>
      </c>
      <c r="M133" s="296"/>
      <c r="N133" s="296"/>
    </row>
    <row r="134" spans="1:14" x14ac:dyDescent="0.25">
      <c r="A134" s="21" t="s">
        <v>967</v>
      </c>
      <c r="B134" s="48">
        <v>9.8988999999999994E-2</v>
      </c>
      <c r="C134" s="203">
        <f t="shared" si="18"/>
        <v>8.3561556801718445E-4</v>
      </c>
      <c r="D134" s="48">
        <v>3.8769269999999995E-2</v>
      </c>
      <c r="E134" s="203">
        <f t="shared" si="19"/>
        <v>2.9380417556081593E-4</v>
      </c>
      <c r="F134" s="48">
        <v>0.27035483999999999</v>
      </c>
      <c r="G134" s="48"/>
      <c r="H134" s="189">
        <f t="shared" si="20"/>
        <v>0.27035483999999999</v>
      </c>
      <c r="I134" s="203">
        <f t="shared" si="21"/>
        <v>2.7121307035735628E-3</v>
      </c>
      <c r="J134" s="203">
        <f t="shared" si="22"/>
        <v>0</v>
      </c>
      <c r="K134" s="189">
        <f t="shared" si="23"/>
        <v>597.3431276885018</v>
      </c>
      <c r="L134" s="189">
        <f t="shared" si="17"/>
        <v>173.11604319671883</v>
      </c>
      <c r="M134" s="296"/>
      <c r="N134" s="296"/>
    </row>
    <row r="135" spans="1:14" x14ac:dyDescent="0.25">
      <c r="A135" s="21" t="s">
        <v>493</v>
      </c>
      <c r="B135" s="48">
        <v>1.0836861499999995</v>
      </c>
      <c r="C135" s="203">
        <f t="shared" si="18"/>
        <v>9.147935808873766E-3</v>
      </c>
      <c r="D135" s="48">
        <v>0.55677512999999967</v>
      </c>
      <c r="E135" s="203">
        <f t="shared" si="19"/>
        <v>4.2193948465476918E-3</v>
      </c>
      <c r="F135" s="48">
        <v>0.1720922599999998</v>
      </c>
      <c r="G135" s="48">
        <v>9.6163419999999888E-2</v>
      </c>
      <c r="H135" s="189">
        <f t="shared" si="20"/>
        <v>0.26825567999999966</v>
      </c>
      <c r="I135" s="203">
        <f t="shared" si="21"/>
        <v>1.7263855982506695E-3</v>
      </c>
      <c r="J135" s="203">
        <f t="shared" si="22"/>
        <v>9.6468686834916555E-4</v>
      </c>
      <c r="K135" s="189">
        <f t="shared" si="23"/>
        <v>-51.819744534925647</v>
      </c>
      <c r="L135" s="189">
        <f t="shared" si="17"/>
        <v>-75.245999037636508</v>
      </c>
      <c r="M135" s="296"/>
      <c r="N135" s="296"/>
    </row>
    <row r="136" spans="1:14" x14ac:dyDescent="0.25">
      <c r="A136" s="21" t="s">
        <v>682</v>
      </c>
      <c r="B136" s="48">
        <v>9.511E-2</v>
      </c>
      <c r="C136" s="203">
        <f t="shared" si="18"/>
        <v>8.028709924750671E-4</v>
      </c>
      <c r="D136" s="48">
        <v>0.214991669999999</v>
      </c>
      <c r="E136" s="203">
        <f t="shared" si="19"/>
        <v>1.6292659200648535E-3</v>
      </c>
      <c r="F136" s="48">
        <v>0.26379893999999998</v>
      </c>
      <c r="G136" s="48"/>
      <c r="H136" s="189">
        <f t="shared" si="20"/>
        <v>0.26379893999999998</v>
      </c>
      <c r="I136" s="203">
        <f t="shared" si="21"/>
        <v>2.6463635892154183E-3</v>
      </c>
      <c r="J136" s="203">
        <f t="shared" si="22"/>
        <v>0</v>
      </c>
      <c r="K136" s="189">
        <f t="shared" si="23"/>
        <v>22.701935381962102</v>
      </c>
      <c r="L136" s="189">
        <f t="shared" si="17"/>
        <v>177.36193880769636</v>
      </c>
      <c r="M136" s="296"/>
      <c r="N136" s="296"/>
    </row>
    <row r="137" spans="1:14" x14ac:dyDescent="0.25">
      <c r="A137" s="21" t="s">
        <v>518</v>
      </c>
      <c r="B137" s="48">
        <v>0.48316866999999997</v>
      </c>
      <c r="C137" s="203">
        <f t="shared" si="18"/>
        <v>4.0786679593708148E-3</v>
      </c>
      <c r="D137" s="48">
        <v>0.26965650999999985</v>
      </c>
      <c r="E137" s="203">
        <f t="shared" si="19"/>
        <v>2.0435310906075066E-3</v>
      </c>
      <c r="F137" s="48">
        <v>0.26361245999999994</v>
      </c>
      <c r="G137" s="48">
        <v>3.38399999999999E-5</v>
      </c>
      <c r="H137" s="189">
        <f t="shared" si="20"/>
        <v>0.26364629999999994</v>
      </c>
      <c r="I137" s="203">
        <f t="shared" si="21"/>
        <v>2.6444928694842585E-3</v>
      </c>
      <c r="J137" s="203">
        <f t="shared" si="22"/>
        <v>3.3947423692850886E-7</v>
      </c>
      <c r="K137" s="189">
        <f t="shared" si="23"/>
        <v>-2.2288391999139567</v>
      </c>
      <c r="L137" s="189" t="s">
        <v>240</v>
      </c>
      <c r="M137" s="296"/>
      <c r="N137" s="296"/>
    </row>
    <row r="138" spans="1:14" x14ac:dyDescent="0.25">
      <c r="A138" s="21" t="s">
        <v>541</v>
      </c>
      <c r="B138" s="48">
        <v>0.26869500000000002</v>
      </c>
      <c r="C138" s="203">
        <f t="shared" si="18"/>
        <v>2.2681886376100112E-3</v>
      </c>
      <c r="D138" s="48">
        <v>1.7230562900000002</v>
      </c>
      <c r="E138" s="203">
        <f t="shared" si="19"/>
        <v>1.3057793781733013E-2</v>
      </c>
      <c r="F138" s="48">
        <v>0.26021729999999899</v>
      </c>
      <c r="G138" s="48"/>
      <c r="H138" s="189">
        <f t="shared" si="20"/>
        <v>0.26021729999999899</v>
      </c>
      <c r="I138" s="203">
        <f t="shared" si="21"/>
        <v>2.6104334915217726E-3</v>
      </c>
      <c r="J138" s="203">
        <f t="shared" si="22"/>
        <v>0</v>
      </c>
      <c r="K138" s="189" t="s">
        <v>240</v>
      </c>
      <c r="L138" s="189" t="s">
        <v>240</v>
      </c>
      <c r="M138" s="296"/>
      <c r="N138" s="296"/>
    </row>
    <row r="139" spans="1:14" x14ac:dyDescent="0.25">
      <c r="A139" s="21" t="s">
        <v>588</v>
      </c>
      <c r="B139" s="48">
        <v>1.2476959999999999E-2</v>
      </c>
      <c r="C139" s="203">
        <f t="shared" si="18"/>
        <v>1.0532424832585125E-4</v>
      </c>
      <c r="D139" s="48">
        <v>0.21779791000000001</v>
      </c>
      <c r="E139" s="203">
        <f t="shared" si="19"/>
        <v>1.6505323774839919E-3</v>
      </c>
      <c r="F139" s="48">
        <v>0.16340295999999899</v>
      </c>
      <c r="G139" s="48">
        <v>9.5054679999999905E-2</v>
      </c>
      <c r="H139" s="189">
        <f t="shared" si="20"/>
        <v>0.25845763999999888</v>
      </c>
      <c r="I139" s="203">
        <f t="shared" si="21"/>
        <v>1.6392167599840271E-3</v>
      </c>
      <c r="J139" s="203">
        <f t="shared" si="22"/>
        <v>9.5356427185235384E-4</v>
      </c>
      <c r="K139" s="189" t="s">
        <v>240</v>
      </c>
      <c r="L139" s="189">
        <f t="shared" ref="L139:L143" si="24">((H139/B139)-1)*100</f>
        <v>1971.4792705915456</v>
      </c>
      <c r="M139" s="296"/>
      <c r="N139" s="296"/>
    </row>
    <row r="140" spans="1:14" x14ac:dyDescent="0.25">
      <c r="A140" s="21" t="s">
        <v>646</v>
      </c>
      <c r="B140" s="48">
        <v>6.0000000000000002E-5</v>
      </c>
      <c r="C140" s="203">
        <f t="shared" si="18"/>
        <v>5.0648995424775557E-7</v>
      </c>
      <c r="D140" s="48">
        <v>2.4429097099999999</v>
      </c>
      <c r="E140" s="203">
        <f t="shared" si="19"/>
        <v>1.8513040697337401E-2</v>
      </c>
      <c r="F140" s="48">
        <v>0.24756825000000002</v>
      </c>
      <c r="G140" s="48"/>
      <c r="H140" s="189">
        <f t="shared" si="20"/>
        <v>0.24756825000000002</v>
      </c>
      <c r="I140" s="203">
        <f t="shared" si="21"/>
        <v>2.4835414526145558E-3</v>
      </c>
      <c r="J140" s="203">
        <f t="shared" si="22"/>
        <v>0</v>
      </c>
      <c r="K140" s="189">
        <f>((H140/D140)-1)*100</f>
        <v>-89.86584526695421</v>
      </c>
      <c r="L140" s="189">
        <f t="shared" si="24"/>
        <v>412513.75</v>
      </c>
      <c r="M140" s="296"/>
      <c r="N140" s="296"/>
    </row>
    <row r="141" spans="1:14" x14ac:dyDescent="0.25">
      <c r="A141" s="21" t="s">
        <v>573</v>
      </c>
      <c r="B141" s="48">
        <v>0.94869885999999981</v>
      </c>
      <c r="C141" s="203">
        <f t="shared" si="18"/>
        <v>8.0084407032716288E-3</v>
      </c>
      <c r="D141" s="48">
        <v>0.8103525800000001</v>
      </c>
      <c r="E141" s="203">
        <f t="shared" si="19"/>
        <v>6.1410744045601118E-3</v>
      </c>
      <c r="F141" s="48">
        <v>0.15234917999999997</v>
      </c>
      <c r="G141" s="48">
        <v>9.1506570000000009E-2</v>
      </c>
      <c r="H141" s="189">
        <f t="shared" si="20"/>
        <v>0.24385574999999998</v>
      </c>
      <c r="I141" s="203">
        <f t="shared" si="21"/>
        <v>1.5283280622690365E-3</v>
      </c>
      <c r="J141" s="203">
        <f t="shared" si="22"/>
        <v>9.1797053855482492E-4</v>
      </c>
      <c r="K141" s="189">
        <f>((H141/D141)-1)*100</f>
        <v>-69.907450655614639</v>
      </c>
      <c r="L141" s="189">
        <f t="shared" si="24"/>
        <v>-74.295768627781428</v>
      </c>
      <c r="M141" s="296"/>
      <c r="N141" s="296"/>
    </row>
    <row r="142" spans="1:14" x14ac:dyDescent="0.25">
      <c r="A142" s="21" t="s">
        <v>650</v>
      </c>
      <c r="B142" s="48">
        <v>0</v>
      </c>
      <c r="C142" s="203">
        <f t="shared" si="18"/>
        <v>0</v>
      </c>
      <c r="D142" s="48">
        <v>0</v>
      </c>
      <c r="E142" s="203">
        <f t="shared" si="19"/>
        <v>0</v>
      </c>
      <c r="F142" s="48">
        <v>0.23914616</v>
      </c>
      <c r="G142" s="48"/>
      <c r="H142" s="189">
        <f t="shared" si="20"/>
        <v>0.23914616</v>
      </c>
      <c r="I142" s="203">
        <f t="shared" si="21"/>
        <v>2.3990531968198382E-3</v>
      </c>
      <c r="J142" s="203">
        <f t="shared" si="22"/>
        <v>0</v>
      </c>
      <c r="K142" s="189" t="s">
        <v>240</v>
      </c>
      <c r="L142" s="189" t="s">
        <v>240</v>
      </c>
      <c r="M142" s="296"/>
      <c r="N142" s="296"/>
    </row>
    <row r="143" spans="1:14" x14ac:dyDescent="0.25">
      <c r="A143" s="21" t="s">
        <v>496</v>
      </c>
      <c r="B143" s="48">
        <v>0.35808723999999986</v>
      </c>
      <c r="C143" s="203">
        <f t="shared" si="18"/>
        <v>3.022793163405083E-3</v>
      </c>
      <c r="D143" s="48">
        <v>9.3952929999999976E-2</v>
      </c>
      <c r="E143" s="203">
        <f t="shared" si="19"/>
        <v>7.1200110655096291E-4</v>
      </c>
      <c r="F143" s="48">
        <v>0.23227609999999993</v>
      </c>
      <c r="G143" s="48"/>
      <c r="H143" s="189">
        <f t="shared" si="20"/>
        <v>0.23227609999999993</v>
      </c>
      <c r="I143" s="203">
        <f t="shared" si="21"/>
        <v>2.3301345095812715E-3</v>
      </c>
      <c r="J143" s="203">
        <f t="shared" si="22"/>
        <v>0</v>
      </c>
      <c r="K143" s="189">
        <f>((H143/D143)-1)*100</f>
        <v>147.22603116262582</v>
      </c>
      <c r="L143" s="189">
        <f t="shared" si="24"/>
        <v>-35.134214779616272</v>
      </c>
      <c r="M143" s="296"/>
      <c r="N143" s="296"/>
    </row>
    <row r="144" spans="1:14" x14ac:dyDescent="0.25">
      <c r="A144" s="21" t="s">
        <v>502</v>
      </c>
      <c r="B144" s="48">
        <v>0.10815442999999993</v>
      </c>
      <c r="C144" s="203">
        <f t="shared" si="18"/>
        <v>9.1298553837320057E-4</v>
      </c>
      <c r="D144" s="48">
        <v>0.33061505999999996</v>
      </c>
      <c r="E144" s="203">
        <f t="shared" si="19"/>
        <v>2.5054917240198149E-3</v>
      </c>
      <c r="F144" s="48">
        <v>0.21289329999999987</v>
      </c>
      <c r="G144" s="48">
        <v>2.4501799999999897E-3</v>
      </c>
      <c r="H144" s="189">
        <f t="shared" si="20"/>
        <v>0.21534347999999987</v>
      </c>
      <c r="I144" s="203">
        <f t="shared" si="21"/>
        <v>2.1356912105405519E-3</v>
      </c>
      <c r="J144" s="203">
        <f t="shared" si="22"/>
        <v>2.4579579959736786E-5</v>
      </c>
      <c r="K144" s="189" t="s">
        <v>240</v>
      </c>
      <c r="L144" s="189" t="s">
        <v>240</v>
      </c>
      <c r="M144" s="296"/>
      <c r="N144" s="296"/>
    </row>
    <row r="145" spans="1:14" x14ac:dyDescent="0.25">
      <c r="A145" s="21" t="s">
        <v>589</v>
      </c>
      <c r="B145" s="48">
        <v>0</v>
      </c>
      <c r="C145" s="203">
        <f t="shared" si="18"/>
        <v>0</v>
      </c>
      <c r="D145" s="48">
        <v>0</v>
      </c>
      <c r="E145" s="203">
        <f t="shared" si="19"/>
        <v>0</v>
      </c>
      <c r="F145" s="48">
        <v>0.20353857</v>
      </c>
      <c r="G145" s="48"/>
      <c r="H145" s="189">
        <f t="shared" si="20"/>
        <v>0.20353857</v>
      </c>
      <c r="I145" s="203">
        <f t="shared" si="21"/>
        <v>2.0418469484713383E-3</v>
      </c>
      <c r="J145" s="203">
        <f t="shared" si="22"/>
        <v>0</v>
      </c>
      <c r="K145" s="189" t="s">
        <v>240</v>
      </c>
      <c r="L145" s="189" t="s">
        <v>240</v>
      </c>
      <c r="M145" s="296"/>
      <c r="N145" s="296"/>
    </row>
    <row r="146" spans="1:14" x14ac:dyDescent="0.25">
      <c r="A146" s="21" t="s">
        <v>641</v>
      </c>
      <c r="B146" s="48">
        <v>4.3103503900000009</v>
      </c>
      <c r="C146" s="203">
        <f t="shared" si="18"/>
        <v>3.6385819530381593E-2</v>
      </c>
      <c r="D146" s="48">
        <v>0.1326913099999999</v>
      </c>
      <c r="E146" s="203">
        <f t="shared" si="19"/>
        <v>1.0055711892082214E-3</v>
      </c>
      <c r="F146" s="48">
        <v>0.12033397999999998</v>
      </c>
      <c r="G146" s="48">
        <v>7.8357069999999807E-2</v>
      </c>
      <c r="H146" s="189">
        <f t="shared" si="20"/>
        <v>0.19869104999999979</v>
      </c>
      <c r="I146" s="203">
        <f t="shared" si="21"/>
        <v>1.2071597528685153E-3</v>
      </c>
      <c r="J146" s="203">
        <f t="shared" si="22"/>
        <v>7.8605811306748719E-4</v>
      </c>
      <c r="K146" s="189">
        <f t="shared" ref="K146:K152" si="25">((H146/D146)-1)*100</f>
        <v>49.739308474684549</v>
      </c>
      <c r="L146" s="189">
        <f t="shared" ref="L146:L158" si="26">((H146/B146)-1)*100</f>
        <v>-95.390373588630695</v>
      </c>
      <c r="M146" s="296"/>
      <c r="N146" s="296"/>
    </row>
    <row r="147" spans="1:14" x14ac:dyDescent="0.25">
      <c r="A147" s="21" t="s">
        <v>561</v>
      </c>
      <c r="B147" s="48">
        <v>0.189537399999999</v>
      </c>
      <c r="C147" s="203">
        <f t="shared" si="18"/>
        <v>1.5999798175706339E-3</v>
      </c>
      <c r="D147" s="48">
        <v>3.8562300000000001E-2</v>
      </c>
      <c r="E147" s="203">
        <f t="shared" si="19"/>
        <v>2.9223570005906368E-4</v>
      </c>
      <c r="F147" s="48">
        <v>0.18468377000000002</v>
      </c>
      <c r="G147" s="48"/>
      <c r="H147" s="189">
        <f t="shared" si="20"/>
        <v>0.18468377000000002</v>
      </c>
      <c r="I147" s="203">
        <f t="shared" si="21"/>
        <v>1.8527004105741854E-3</v>
      </c>
      <c r="J147" s="203">
        <f t="shared" si="22"/>
        <v>0</v>
      </c>
      <c r="K147" s="189">
        <f t="shared" si="25"/>
        <v>378.9231192122877</v>
      </c>
      <c r="L147" s="189">
        <f t="shared" si="26"/>
        <v>-2.5607769231819177</v>
      </c>
      <c r="M147" s="296"/>
      <c r="N147" s="296"/>
    </row>
    <row r="148" spans="1:14" x14ac:dyDescent="0.25">
      <c r="A148" s="21" t="s">
        <v>552</v>
      </c>
      <c r="B148" s="48">
        <v>0.36681118999999995</v>
      </c>
      <c r="C148" s="203">
        <f t="shared" si="18"/>
        <v>3.0964363806777451E-3</v>
      </c>
      <c r="D148" s="48">
        <v>1.2543536399999982</v>
      </c>
      <c r="E148" s="203">
        <f t="shared" si="19"/>
        <v>9.5058363766433573E-3</v>
      </c>
      <c r="F148" s="48">
        <v>0.1031400999999999</v>
      </c>
      <c r="G148" s="48">
        <v>7.9544340000000005E-2</v>
      </c>
      <c r="H148" s="189">
        <f t="shared" si="20"/>
        <v>0.18268443999999989</v>
      </c>
      <c r="I148" s="203">
        <f t="shared" si="21"/>
        <v>1.034675140195927E-3</v>
      </c>
      <c r="J148" s="203">
        <f t="shared" si="22"/>
        <v>7.9796850246696054E-4</v>
      </c>
      <c r="K148" s="189">
        <f t="shared" si="25"/>
        <v>-85.435970034734382</v>
      </c>
      <c r="L148" s="189">
        <f t="shared" si="26"/>
        <v>-50.196601145128675</v>
      </c>
      <c r="M148" s="296"/>
      <c r="N148" s="296"/>
    </row>
    <row r="149" spans="1:14" x14ac:dyDescent="0.25">
      <c r="A149" s="21" t="s">
        <v>974</v>
      </c>
      <c r="B149" s="48">
        <v>0.22348507999999978</v>
      </c>
      <c r="C149" s="203">
        <f t="shared" si="18"/>
        <v>1.8865491324042646E-3</v>
      </c>
      <c r="D149" s="48">
        <v>4.6170299999999886E-2</v>
      </c>
      <c r="E149" s="203">
        <f t="shared" si="19"/>
        <v>3.4989121350222763E-4</v>
      </c>
      <c r="F149" s="48">
        <v>0.1240262199999999</v>
      </c>
      <c r="G149" s="48">
        <v>5.69905299999999E-2</v>
      </c>
      <c r="H149" s="189">
        <f t="shared" si="20"/>
        <v>0.18101674999999978</v>
      </c>
      <c r="I149" s="203">
        <f t="shared" si="21"/>
        <v>1.2441993615138138E-3</v>
      </c>
      <c r="J149" s="203">
        <f t="shared" si="22"/>
        <v>5.7171444101363226E-4</v>
      </c>
      <c r="K149" s="189">
        <f t="shared" si="25"/>
        <v>292.06318780688065</v>
      </c>
      <c r="L149" s="189">
        <f t="shared" si="26"/>
        <v>-19.002758483922079</v>
      </c>
      <c r="M149" s="296"/>
      <c r="N149" s="296"/>
    </row>
    <row r="150" spans="1:14" x14ac:dyDescent="0.25">
      <c r="A150" s="21" t="s">
        <v>717</v>
      </c>
      <c r="B150" s="48">
        <v>8.3767979999999895E-2</v>
      </c>
      <c r="C150" s="203">
        <f t="shared" si="18"/>
        <v>7.0712733929378078E-4</v>
      </c>
      <c r="D150" s="48">
        <v>0</v>
      </c>
      <c r="E150" s="203">
        <f t="shared" si="19"/>
        <v>0</v>
      </c>
      <c r="F150" s="48">
        <v>0.17791057000000002</v>
      </c>
      <c r="G150" s="48"/>
      <c r="H150" s="189">
        <f t="shared" si="20"/>
        <v>0.17791057000000002</v>
      </c>
      <c r="I150" s="203">
        <f t="shared" si="21"/>
        <v>1.7847533981166148E-3</v>
      </c>
      <c r="J150" s="203">
        <f t="shared" si="22"/>
        <v>0</v>
      </c>
      <c r="K150" s="189" t="s">
        <v>240</v>
      </c>
      <c r="L150" s="189">
        <f t="shared" si="26"/>
        <v>112.38493515063901</v>
      </c>
      <c r="M150" s="296"/>
      <c r="N150" s="296"/>
    </row>
    <row r="151" spans="1:14" x14ac:dyDescent="0.25">
      <c r="A151" s="21" t="s">
        <v>501</v>
      </c>
      <c r="B151" s="48">
        <v>2.578009999999999E-2</v>
      </c>
      <c r="C151" s="203">
        <f t="shared" si="18"/>
        <v>2.1762269449170926E-4</v>
      </c>
      <c r="D151" s="48">
        <v>0.19325539000000003</v>
      </c>
      <c r="E151" s="203">
        <f t="shared" si="19"/>
        <v>1.4645424206242205E-3</v>
      </c>
      <c r="F151" s="48">
        <v>0.16990972999999998</v>
      </c>
      <c r="G151" s="48">
        <v>3.6353600000000002E-3</v>
      </c>
      <c r="H151" s="189">
        <f t="shared" si="20"/>
        <v>0.17354508999999999</v>
      </c>
      <c r="I151" s="203">
        <f t="shared" si="21"/>
        <v>1.7044910147304708E-3</v>
      </c>
      <c r="J151" s="203">
        <f t="shared" si="22"/>
        <v>3.6469003013015001E-5</v>
      </c>
      <c r="K151" s="189">
        <f t="shared" si="25"/>
        <v>-10.199094576353108</v>
      </c>
      <c r="L151" s="189">
        <f t="shared" si="26"/>
        <v>573.17461918301342</v>
      </c>
      <c r="M151" s="296"/>
      <c r="N151" s="296"/>
    </row>
    <row r="152" spans="1:14" x14ac:dyDescent="0.25">
      <c r="A152" s="21" t="s">
        <v>516</v>
      </c>
      <c r="B152" s="48">
        <v>4.830538999999999E-2</v>
      </c>
      <c r="C152" s="203">
        <f t="shared" si="18"/>
        <v>4.0776991285033302E-4</v>
      </c>
      <c r="D152" s="48">
        <v>0.31307500999999988</v>
      </c>
      <c r="E152" s="203">
        <f t="shared" si="19"/>
        <v>2.3725684079618776E-3</v>
      </c>
      <c r="F152" s="48">
        <v>0.17262237999999996</v>
      </c>
      <c r="G152" s="48"/>
      <c r="H152" s="189">
        <f t="shared" si="20"/>
        <v>0.17262237999999996</v>
      </c>
      <c r="I152" s="203">
        <f t="shared" si="21"/>
        <v>1.7317036266927674E-3</v>
      </c>
      <c r="J152" s="203">
        <f t="shared" si="22"/>
        <v>0</v>
      </c>
      <c r="K152" s="189">
        <f t="shared" si="25"/>
        <v>-44.862293544285116</v>
      </c>
      <c r="L152" s="189">
        <f t="shared" si="26"/>
        <v>257.3563529866957</v>
      </c>
      <c r="M152" s="296"/>
      <c r="N152" s="296"/>
    </row>
    <row r="153" spans="1:14" x14ac:dyDescent="0.25">
      <c r="A153" s="21" t="s">
        <v>667</v>
      </c>
      <c r="B153" s="48">
        <v>0.23438981999999986</v>
      </c>
      <c r="C153" s="203">
        <f t="shared" si="18"/>
        <v>1.978601486798993E-3</v>
      </c>
      <c r="D153" s="48">
        <v>2.7603364099999901</v>
      </c>
      <c r="E153" s="203">
        <f t="shared" si="19"/>
        <v>2.0918587407257078E-2</v>
      </c>
      <c r="F153" s="48">
        <v>0.16951177999999997</v>
      </c>
      <c r="G153" s="48">
        <v>7.4201999999999894E-4</v>
      </c>
      <c r="H153" s="189">
        <f t="shared" si="20"/>
        <v>0.17025379999999998</v>
      </c>
      <c r="I153" s="203">
        <f t="shared" si="21"/>
        <v>1.7004988819708461E-3</v>
      </c>
      <c r="J153" s="203">
        <f t="shared" si="22"/>
        <v>7.4437551207355952E-6</v>
      </c>
      <c r="K153" s="189" t="s">
        <v>240</v>
      </c>
      <c r="L153" s="189">
        <f t="shared" si="26"/>
        <v>-27.362971651243186</v>
      </c>
      <c r="M153" s="296"/>
      <c r="N153" s="296"/>
    </row>
    <row r="154" spans="1:14" x14ac:dyDescent="0.25">
      <c r="A154" s="21" t="s">
        <v>522</v>
      </c>
      <c r="B154" s="48">
        <v>0.22133316000000003</v>
      </c>
      <c r="C154" s="203">
        <f t="shared" si="18"/>
        <v>1.8683837013651861E-3</v>
      </c>
      <c r="D154" s="48">
        <v>0.15023889999999998</v>
      </c>
      <c r="E154" s="203">
        <f t="shared" si="19"/>
        <v>1.1385516454569269E-3</v>
      </c>
      <c r="F154" s="48">
        <v>9.1411959999999876E-2</v>
      </c>
      <c r="G154" s="48">
        <v>7.81680599999999E-2</v>
      </c>
      <c r="H154" s="189">
        <f t="shared" si="20"/>
        <v>0.16958001999999978</v>
      </c>
      <c r="I154" s="203">
        <f t="shared" si="21"/>
        <v>9.1702143519915554E-4</v>
      </c>
      <c r="J154" s="203">
        <f t="shared" si="22"/>
        <v>7.8416201302251604E-4</v>
      </c>
      <c r="K154" s="189">
        <f>((H154/D154)-1)*100</f>
        <v>12.873576683535216</v>
      </c>
      <c r="L154" s="189">
        <f t="shared" si="26"/>
        <v>-23.382461082650352</v>
      </c>
      <c r="M154" s="296"/>
      <c r="N154" s="296"/>
    </row>
    <row r="155" spans="1:14" x14ac:dyDescent="0.25">
      <c r="A155" s="21" t="s">
        <v>599</v>
      </c>
      <c r="B155" s="48">
        <v>5.7600000000000001E-4</v>
      </c>
      <c r="C155" s="203">
        <f t="shared" si="18"/>
        <v>4.8623035607784531E-6</v>
      </c>
      <c r="D155" s="48">
        <v>0.27988838999999988</v>
      </c>
      <c r="E155" s="203">
        <f t="shared" si="19"/>
        <v>2.1210710873068822E-3</v>
      </c>
      <c r="F155" s="48">
        <v>0.15645999999999999</v>
      </c>
      <c r="G155" s="48"/>
      <c r="H155" s="189">
        <f t="shared" si="20"/>
        <v>0.15645999999999999</v>
      </c>
      <c r="I155" s="203">
        <f t="shared" si="21"/>
        <v>1.5695667585648536E-3</v>
      </c>
      <c r="J155" s="203">
        <f t="shared" si="22"/>
        <v>0</v>
      </c>
      <c r="K155" s="189" t="s">
        <v>240</v>
      </c>
      <c r="L155" s="189">
        <f t="shared" si="26"/>
        <v>27063.194444444442</v>
      </c>
      <c r="M155" s="296"/>
      <c r="N155" s="296"/>
    </row>
    <row r="156" spans="1:14" x14ac:dyDescent="0.25">
      <c r="A156" s="21" t="s">
        <v>566</v>
      </c>
      <c r="B156" s="48">
        <v>5.9697343199999997</v>
      </c>
      <c r="C156" s="203">
        <f t="shared" si="18"/>
        <v>5.0393507710134261E-2</v>
      </c>
      <c r="D156" s="48">
        <v>1.92989199999999E-2</v>
      </c>
      <c r="E156" s="203">
        <f t="shared" si="19"/>
        <v>1.4625251596984192E-4</v>
      </c>
      <c r="F156" s="48">
        <v>0.10792866999999992</v>
      </c>
      <c r="G156" s="48">
        <v>4.2668569999999996E-2</v>
      </c>
      <c r="H156" s="189">
        <f t="shared" si="20"/>
        <v>0.15059723999999991</v>
      </c>
      <c r="I156" s="203">
        <f t="shared" si="21"/>
        <v>1.0827128513876752E-3</v>
      </c>
      <c r="J156" s="203">
        <f t="shared" si="22"/>
        <v>4.2804019626420527E-4</v>
      </c>
      <c r="K156" s="189">
        <f>((H156/D156)-1)*100</f>
        <v>680.34024701900773</v>
      </c>
      <c r="L156" s="189">
        <f t="shared" si="26"/>
        <v>-97.477320900270811</v>
      </c>
      <c r="M156" s="296"/>
      <c r="N156" s="296"/>
    </row>
    <row r="157" spans="1:14" x14ac:dyDescent="0.25">
      <c r="A157" s="21" t="s">
        <v>675</v>
      </c>
      <c r="B157" s="48">
        <v>2.3304299999999901E-3</v>
      </c>
      <c r="C157" s="203">
        <f t="shared" si="18"/>
        <v>1.9672323067959863E-5</v>
      </c>
      <c r="D157" s="48">
        <v>5.0000000000000002E-5</v>
      </c>
      <c r="E157" s="203">
        <f t="shared" si="19"/>
        <v>3.7891373188199829E-7</v>
      </c>
      <c r="F157" s="48">
        <v>0.14751549999999997</v>
      </c>
      <c r="G157" s="48"/>
      <c r="H157" s="189">
        <f t="shared" si="20"/>
        <v>0.14751549999999997</v>
      </c>
      <c r="I157" s="203">
        <f t="shared" si="21"/>
        <v>1.4798378190788294E-3</v>
      </c>
      <c r="J157" s="203">
        <f t="shared" si="22"/>
        <v>0</v>
      </c>
      <c r="K157" s="189">
        <f>((H157/D157)-1)*100</f>
        <v>294930.99999999988</v>
      </c>
      <c r="L157" s="189">
        <f t="shared" si="26"/>
        <v>6229.9691473247685</v>
      </c>
      <c r="M157" s="296"/>
      <c r="N157" s="296"/>
    </row>
    <row r="158" spans="1:14" x14ac:dyDescent="0.25">
      <c r="A158" s="21" t="s">
        <v>503</v>
      </c>
      <c r="B158" s="48">
        <v>3.3767769999999891E-2</v>
      </c>
      <c r="C158" s="203">
        <f t="shared" si="18"/>
        <v>2.8505060470581127E-4</v>
      </c>
      <c r="D158" s="48">
        <v>0.11083990999999999</v>
      </c>
      <c r="E158" s="203">
        <f t="shared" si="19"/>
        <v>8.3997527879129622E-4</v>
      </c>
      <c r="F158" s="48">
        <v>8.5402719999999904E-2</v>
      </c>
      <c r="G158" s="48">
        <v>5.0096139999999893E-2</v>
      </c>
      <c r="H158" s="189">
        <f t="shared" si="20"/>
        <v>0.1354988599999998</v>
      </c>
      <c r="I158" s="203">
        <f t="shared" si="21"/>
        <v>8.5673827433862745E-4</v>
      </c>
      <c r="J158" s="203">
        <f t="shared" si="22"/>
        <v>5.0255168142918929E-4</v>
      </c>
      <c r="K158" s="189">
        <f>((H158/D158)-1)*100</f>
        <v>22.247356570390409</v>
      </c>
      <c r="L158" s="189">
        <f t="shared" si="26"/>
        <v>301.26682928721749</v>
      </c>
      <c r="M158" s="296"/>
      <c r="N158" s="296"/>
    </row>
    <row r="159" spans="1:14" x14ac:dyDescent="0.25">
      <c r="A159" s="21" t="s">
        <v>636</v>
      </c>
      <c r="B159" s="48">
        <v>28.535670730000003</v>
      </c>
      <c r="C159" s="203">
        <f t="shared" si="18"/>
        <v>0.24088384270777863</v>
      </c>
      <c r="D159" s="48">
        <v>0.20546728999999989</v>
      </c>
      <c r="E159" s="203">
        <f t="shared" si="19"/>
        <v>1.5570875526716148E-3</v>
      </c>
      <c r="F159" s="48">
        <v>0.13546552999999989</v>
      </c>
      <c r="G159" s="48"/>
      <c r="H159" s="189">
        <f t="shared" si="20"/>
        <v>0.13546552999999989</v>
      </c>
      <c r="I159" s="203">
        <f t="shared" si="21"/>
        <v>1.3589555977206302E-3</v>
      </c>
      <c r="J159" s="203">
        <f t="shared" si="22"/>
        <v>0</v>
      </c>
      <c r="K159" s="189" t="s">
        <v>240</v>
      </c>
      <c r="L159" s="189" t="s">
        <v>240</v>
      </c>
      <c r="M159" s="296"/>
      <c r="N159" s="296"/>
    </row>
    <row r="160" spans="1:14" x14ac:dyDescent="0.25">
      <c r="A160" s="21" t="s">
        <v>600</v>
      </c>
      <c r="B160" s="48">
        <v>0.18757473</v>
      </c>
      <c r="C160" s="203">
        <f t="shared" si="18"/>
        <v>1.5834119402622516E-3</v>
      </c>
      <c r="D160" s="48">
        <v>0.24481252999999989</v>
      </c>
      <c r="E160" s="203">
        <f t="shared" si="19"/>
        <v>1.8552565870754722E-3</v>
      </c>
      <c r="F160" s="48">
        <v>0.13268853999999999</v>
      </c>
      <c r="G160" s="48">
        <v>7.9776999999999897E-4</v>
      </c>
      <c r="H160" s="189">
        <f t="shared" si="20"/>
        <v>0.13348631</v>
      </c>
      <c r="I160" s="203">
        <f t="shared" si="21"/>
        <v>1.3310975433114083E-3</v>
      </c>
      <c r="J160" s="203">
        <f t="shared" si="22"/>
        <v>8.003024881632888E-6</v>
      </c>
      <c r="K160" s="189">
        <f t="shared" ref="K160:K167" si="27">((H160/D160)-1)*100</f>
        <v>-45.47406948492381</v>
      </c>
      <c r="L160" s="189">
        <f t="shared" ref="L160:L167" si="28">((H160/B160)-1)*100</f>
        <v>-28.835664590854005</v>
      </c>
      <c r="M160" s="296"/>
      <c r="N160" s="296"/>
    </row>
    <row r="161" spans="1:14" x14ac:dyDescent="0.25">
      <c r="A161" s="21" t="s">
        <v>517</v>
      </c>
      <c r="B161" s="48">
        <v>0.20820762999999992</v>
      </c>
      <c r="C161" s="203">
        <f t="shared" si="18"/>
        <v>1.7575845498788928E-3</v>
      </c>
      <c r="D161" s="48">
        <v>0.15273023999999985</v>
      </c>
      <c r="E161" s="203">
        <f t="shared" si="19"/>
        <v>1.1574317041926638E-3</v>
      </c>
      <c r="F161" s="48">
        <v>0.12663526999999988</v>
      </c>
      <c r="G161" s="48"/>
      <c r="H161" s="189">
        <f t="shared" si="20"/>
        <v>0.12663526999999988</v>
      </c>
      <c r="I161" s="203">
        <f t="shared" si="21"/>
        <v>1.2703726847365774E-3</v>
      </c>
      <c r="J161" s="203">
        <f t="shared" si="22"/>
        <v>0</v>
      </c>
      <c r="K161" s="189">
        <f t="shared" si="27"/>
        <v>-17.085660311932983</v>
      </c>
      <c r="L161" s="189">
        <f t="shared" si="28"/>
        <v>-39.178372089437872</v>
      </c>
      <c r="M161" s="296"/>
      <c r="N161" s="296"/>
    </row>
    <row r="162" spans="1:14" x14ac:dyDescent="0.25">
      <c r="A162" s="21" t="s">
        <v>647</v>
      </c>
      <c r="B162" s="48">
        <v>3.977447999999989E-2</v>
      </c>
      <c r="C162" s="203">
        <f t="shared" si="18"/>
        <v>3.3575624259047016E-4</v>
      </c>
      <c r="D162" s="48">
        <v>4.1217389999999896E-2</v>
      </c>
      <c r="E162" s="203">
        <f t="shared" si="19"/>
        <v>3.1235670126671431E-4</v>
      </c>
      <c r="F162" s="48">
        <v>0.12011189999999999</v>
      </c>
      <c r="G162" s="48"/>
      <c r="H162" s="189">
        <f t="shared" si="20"/>
        <v>0.12011189999999999</v>
      </c>
      <c r="I162" s="203">
        <f t="shared" si="21"/>
        <v>1.2049319030299492E-3</v>
      </c>
      <c r="J162" s="203">
        <f t="shared" si="22"/>
        <v>0</v>
      </c>
      <c r="K162" s="189">
        <f t="shared" si="27"/>
        <v>191.41073706996076</v>
      </c>
      <c r="L162" s="189">
        <f t="shared" si="28"/>
        <v>201.98232635599592</v>
      </c>
      <c r="M162" s="296"/>
      <c r="N162" s="296"/>
    </row>
    <row r="163" spans="1:14" x14ac:dyDescent="0.25">
      <c r="A163" s="21" t="s">
        <v>596</v>
      </c>
      <c r="B163" s="48">
        <v>0.13953096999999981</v>
      </c>
      <c r="C163" s="203">
        <f t="shared" si="18"/>
        <v>1.1778505768574141E-3</v>
      </c>
      <c r="D163" s="48">
        <v>0.15953559999999978</v>
      </c>
      <c r="E163" s="203">
        <f t="shared" si="19"/>
        <v>1.2090045912806727E-3</v>
      </c>
      <c r="F163" s="48">
        <v>8.4412069999999992E-2</v>
      </c>
      <c r="G163" s="48">
        <v>3.5252079999999894E-2</v>
      </c>
      <c r="H163" s="189">
        <f t="shared" si="20"/>
        <v>0.11966414999999989</v>
      </c>
      <c r="I163" s="203">
        <f t="shared" si="21"/>
        <v>8.4680032656045965E-4</v>
      </c>
      <c r="J163" s="203">
        <f t="shared" si="22"/>
        <v>3.5363986282927742E-4</v>
      </c>
      <c r="K163" s="189">
        <f t="shared" si="27"/>
        <v>-24.992196099177832</v>
      </c>
      <c r="L163" s="189">
        <f t="shared" si="28"/>
        <v>-14.238287026887253</v>
      </c>
      <c r="M163" s="296"/>
      <c r="N163" s="296"/>
    </row>
    <row r="164" spans="1:14" x14ac:dyDescent="0.25">
      <c r="A164" s="21" t="s">
        <v>519</v>
      </c>
      <c r="B164" s="48">
        <v>0.22259048000000001</v>
      </c>
      <c r="C164" s="203">
        <f t="shared" si="18"/>
        <v>1.8789973671864322E-3</v>
      </c>
      <c r="D164" s="48">
        <v>1.9196990000000001E-2</v>
      </c>
      <c r="E164" s="203">
        <f t="shared" si="19"/>
        <v>1.4548006243602802E-4</v>
      </c>
      <c r="F164" s="48">
        <v>0.11179</v>
      </c>
      <c r="G164" s="48"/>
      <c r="H164" s="189">
        <f t="shared" si="20"/>
        <v>0.11179</v>
      </c>
      <c r="I164" s="203">
        <f t="shared" si="21"/>
        <v>1.1214487277257127E-3</v>
      </c>
      <c r="J164" s="203">
        <f t="shared" si="22"/>
        <v>0</v>
      </c>
      <c r="K164" s="189">
        <f t="shared" si="27"/>
        <v>482.33087583001293</v>
      </c>
      <c r="L164" s="189">
        <f t="shared" si="28"/>
        <v>-49.77772634301342</v>
      </c>
      <c r="M164" s="296"/>
      <c r="N164" s="296"/>
    </row>
    <row r="165" spans="1:14" x14ac:dyDescent="0.25">
      <c r="A165" s="21" t="s">
        <v>674</v>
      </c>
      <c r="B165" s="48">
        <v>5.5794790000000004E-2</v>
      </c>
      <c r="C165" s="203">
        <f t="shared" si="18"/>
        <v>4.7099167723938548E-4</v>
      </c>
      <c r="D165" s="48">
        <v>2.6593969999999998E-2</v>
      </c>
      <c r="E165" s="203">
        <f t="shared" si="19"/>
        <v>2.0153640836515811E-4</v>
      </c>
      <c r="F165" s="48">
        <v>0.1017973399999999</v>
      </c>
      <c r="G165" s="48"/>
      <c r="H165" s="189">
        <f t="shared" si="20"/>
        <v>0.1017973399999999</v>
      </c>
      <c r="I165" s="203">
        <f t="shared" si="21"/>
        <v>1.021204914830143E-3</v>
      </c>
      <c r="J165" s="203">
        <f t="shared" si="22"/>
        <v>0</v>
      </c>
      <c r="K165" s="189">
        <f t="shared" si="27"/>
        <v>282.78354078010881</v>
      </c>
      <c r="L165" s="189">
        <f t="shared" si="28"/>
        <v>82.44954412410172</v>
      </c>
      <c r="M165" s="296"/>
      <c r="N165" s="296"/>
    </row>
    <row r="166" spans="1:14" x14ac:dyDescent="0.25">
      <c r="A166" s="21" t="s">
        <v>563</v>
      </c>
      <c r="B166" s="48">
        <v>0.31006417000000003</v>
      </c>
      <c r="C166" s="203">
        <f t="shared" si="18"/>
        <v>2.6174064546194719E-3</v>
      </c>
      <c r="D166" s="48">
        <v>0.13032247999999991</v>
      </c>
      <c r="E166" s="203">
        <f t="shared" si="19"/>
        <v>9.8761954489834077E-4</v>
      </c>
      <c r="F166" s="48">
        <v>9.9470489999999995E-2</v>
      </c>
      <c r="G166" s="48"/>
      <c r="H166" s="189">
        <f t="shared" si="20"/>
        <v>9.9470489999999995E-2</v>
      </c>
      <c r="I166" s="203">
        <f t="shared" si="21"/>
        <v>9.9786254993070251E-4</v>
      </c>
      <c r="J166" s="203">
        <f t="shared" si="22"/>
        <v>0</v>
      </c>
      <c r="K166" s="189">
        <f t="shared" si="27"/>
        <v>-23.673574965731113</v>
      </c>
      <c r="L166" s="189">
        <f t="shared" si="28"/>
        <v>-67.919385848419694</v>
      </c>
      <c r="M166" s="296"/>
      <c r="N166" s="296"/>
    </row>
    <row r="167" spans="1:14" x14ac:dyDescent="0.25">
      <c r="A167" s="21" t="s">
        <v>718</v>
      </c>
      <c r="B167" s="48">
        <v>0.34766089999999999</v>
      </c>
      <c r="C167" s="203">
        <f t="shared" si="18"/>
        <v>2.9347792222455585E-3</v>
      </c>
      <c r="D167" s="48">
        <v>0.16435353</v>
      </c>
      <c r="E167" s="203">
        <f t="shared" si="19"/>
        <v>1.2455161880055991E-3</v>
      </c>
      <c r="F167" s="48">
        <v>9.8659639999999896E-2</v>
      </c>
      <c r="G167" s="48"/>
      <c r="H167" s="189">
        <f t="shared" si="20"/>
        <v>9.8659639999999896E-2</v>
      </c>
      <c r="I167" s="203">
        <f t="shared" si="21"/>
        <v>9.8972830982983024E-4</v>
      </c>
      <c r="J167" s="203">
        <f t="shared" si="22"/>
        <v>0</v>
      </c>
      <c r="K167" s="189">
        <f t="shared" si="27"/>
        <v>-39.971085500871261</v>
      </c>
      <c r="L167" s="189">
        <f t="shared" si="28"/>
        <v>-71.621876374363666</v>
      </c>
      <c r="M167" s="296"/>
      <c r="N167" s="296"/>
    </row>
    <row r="168" spans="1:14" x14ac:dyDescent="0.25">
      <c r="A168" s="21" t="s">
        <v>970</v>
      </c>
      <c r="B168" s="48">
        <v>0.19062823999999995</v>
      </c>
      <c r="C168" s="203">
        <f t="shared" si="18"/>
        <v>1.6091881425988356E-3</v>
      </c>
      <c r="D168" s="48">
        <v>0.23756448999999991</v>
      </c>
      <c r="E168" s="203">
        <f t="shared" si="19"/>
        <v>1.8003289493708726E-3</v>
      </c>
      <c r="F168" s="48">
        <v>8.3933379999999974E-2</v>
      </c>
      <c r="G168" s="48">
        <v>8.7821800000000005E-3</v>
      </c>
      <c r="H168" s="189">
        <f t="shared" si="20"/>
        <v>9.2715559999999975E-2</v>
      </c>
      <c r="I168" s="203">
        <f t="shared" si="21"/>
        <v>8.4199823074263133E-4</v>
      </c>
      <c r="J168" s="203">
        <f t="shared" si="22"/>
        <v>8.8100586704161382E-5</v>
      </c>
      <c r="K168" s="189" t="s">
        <v>240</v>
      </c>
      <c r="L168" s="189" t="s">
        <v>240</v>
      </c>
      <c r="M168" s="296"/>
      <c r="N168" s="296"/>
    </row>
    <row r="169" spans="1:14" x14ac:dyDescent="0.25">
      <c r="A169" s="21" t="s">
        <v>487</v>
      </c>
      <c r="B169" s="48">
        <v>4.1751000000000003E-2</v>
      </c>
      <c r="C169" s="203">
        <f t="shared" si="18"/>
        <v>3.5244103466330071E-4</v>
      </c>
      <c r="D169" s="48">
        <v>2.1691268899999998</v>
      </c>
      <c r="E169" s="203">
        <f t="shared" si="19"/>
        <v>1.6438239296309852E-2</v>
      </c>
      <c r="F169" s="48">
        <v>7.4618379999999956E-2</v>
      </c>
      <c r="G169" s="48"/>
      <c r="H169" s="189">
        <f t="shared" si="20"/>
        <v>7.4618379999999956E-2</v>
      </c>
      <c r="I169" s="203">
        <f t="shared" si="21"/>
        <v>7.4855252988598013E-4</v>
      </c>
      <c r="J169" s="203">
        <f t="shared" si="22"/>
        <v>0</v>
      </c>
      <c r="K169" s="189">
        <f t="shared" ref="K169:K174" si="29">((H169/D169)-1)*100</f>
        <v>-96.559980868615753</v>
      </c>
      <c r="L169" s="189">
        <f t="shared" ref="L169:L176" si="30">((H169/B169)-1)*100</f>
        <v>78.72237790711587</v>
      </c>
      <c r="M169" s="296"/>
      <c r="N169" s="296"/>
    </row>
    <row r="170" spans="1:14" x14ac:dyDescent="0.25">
      <c r="A170" s="21" t="s">
        <v>499</v>
      </c>
      <c r="B170" s="48">
        <v>1.315102</v>
      </c>
      <c r="C170" s="203">
        <f t="shared" si="18"/>
        <v>1.1101432530185529E-2</v>
      </c>
      <c r="D170" s="48">
        <v>0</v>
      </c>
      <c r="E170" s="203">
        <f t="shared" si="19"/>
        <v>0</v>
      </c>
      <c r="F170" s="48">
        <v>7.1923000000000001E-2</v>
      </c>
      <c r="G170" s="48"/>
      <c r="H170" s="189">
        <f t="shared" si="20"/>
        <v>7.1923000000000001E-2</v>
      </c>
      <c r="I170" s="203">
        <f t="shared" si="21"/>
        <v>7.2151316615275455E-4</v>
      </c>
      <c r="J170" s="203">
        <f t="shared" si="22"/>
        <v>0</v>
      </c>
      <c r="K170" s="189" t="s">
        <v>240</v>
      </c>
      <c r="L170" s="189">
        <f t="shared" si="30"/>
        <v>-94.530994554034592</v>
      </c>
      <c r="M170" s="296"/>
      <c r="N170" s="296"/>
    </row>
    <row r="171" spans="1:14" x14ac:dyDescent="0.25">
      <c r="A171" s="21" t="s">
        <v>606</v>
      </c>
      <c r="B171" s="48">
        <v>2.6884059999999901E-2</v>
      </c>
      <c r="C171" s="203">
        <f t="shared" si="18"/>
        <v>2.2694177198989774E-4</v>
      </c>
      <c r="D171" s="48">
        <v>1.895604E-2</v>
      </c>
      <c r="E171" s="203">
        <f t="shared" si="19"/>
        <v>1.4365407716208868E-4</v>
      </c>
      <c r="F171" s="48">
        <v>6.7739399999999894E-2</v>
      </c>
      <c r="G171" s="48"/>
      <c r="H171" s="189">
        <f t="shared" si="20"/>
        <v>6.7739399999999894E-2</v>
      </c>
      <c r="I171" s="203">
        <f t="shared" si="21"/>
        <v>6.7954435948566977E-4</v>
      </c>
      <c r="J171" s="203">
        <f t="shared" si="22"/>
        <v>0</v>
      </c>
      <c r="K171" s="189" t="s">
        <v>240</v>
      </c>
      <c r="L171" s="189">
        <f t="shared" si="30"/>
        <v>151.96863866544018</v>
      </c>
      <c r="M171" s="296"/>
      <c r="N171" s="296"/>
    </row>
    <row r="172" spans="1:14" x14ac:dyDescent="0.25">
      <c r="A172" s="21" t="s">
        <v>618</v>
      </c>
      <c r="B172" s="48">
        <v>7.06571E-2</v>
      </c>
      <c r="C172" s="203">
        <f t="shared" si="18"/>
        <v>5.9645185577131808E-4</v>
      </c>
      <c r="D172" s="48">
        <v>3.3747779999999797E-2</v>
      </c>
      <c r="E172" s="203">
        <f t="shared" si="19"/>
        <v>2.5574994525065173E-4</v>
      </c>
      <c r="F172" s="48">
        <v>6.5242480000000005E-2</v>
      </c>
      <c r="G172" s="48"/>
      <c r="H172" s="189">
        <f t="shared" si="20"/>
        <v>6.5242480000000005E-2</v>
      </c>
      <c r="I172" s="203">
        <f t="shared" si="21"/>
        <v>6.5449589578379344E-4</v>
      </c>
      <c r="J172" s="203">
        <f t="shared" si="22"/>
        <v>0</v>
      </c>
      <c r="K172" s="189">
        <f t="shared" si="29"/>
        <v>93.323768259720779</v>
      </c>
      <c r="L172" s="189">
        <f t="shared" si="30"/>
        <v>-7.6632355417926785</v>
      </c>
      <c r="M172" s="296"/>
      <c r="N172" s="296"/>
    </row>
    <row r="173" spans="1:14" x14ac:dyDescent="0.25">
      <c r="A173" s="21" t="s">
        <v>569</v>
      </c>
      <c r="B173" s="48">
        <v>0.10462304</v>
      </c>
      <c r="C173" s="203">
        <f t="shared" si="18"/>
        <v>8.8317531238101834E-4</v>
      </c>
      <c r="D173" s="48">
        <v>2.9664709999999997E-2</v>
      </c>
      <c r="E173" s="203">
        <f t="shared" si="19"/>
        <v>2.2480731942594462E-4</v>
      </c>
      <c r="F173" s="48">
        <v>2.1309820000000004E-2</v>
      </c>
      <c r="G173" s="48">
        <v>4.3577879999999999E-2</v>
      </c>
      <c r="H173" s="189">
        <f t="shared" si="20"/>
        <v>6.4887700000000006E-2</v>
      </c>
      <c r="I173" s="203">
        <f t="shared" si="21"/>
        <v>2.1377467150070627E-4</v>
      </c>
      <c r="J173" s="203">
        <f t="shared" si="22"/>
        <v>4.3716216193741638E-4</v>
      </c>
      <c r="K173" s="189">
        <f t="shared" si="29"/>
        <v>118.73701108151744</v>
      </c>
      <c r="L173" s="189">
        <f t="shared" si="30"/>
        <v>-37.979531086078168</v>
      </c>
      <c r="M173" s="296"/>
      <c r="N173" s="296"/>
    </row>
    <row r="174" spans="1:14" x14ac:dyDescent="0.25">
      <c r="A174" s="21" t="s">
        <v>580</v>
      </c>
      <c r="B174" s="48">
        <v>8.9896999999999876E-3</v>
      </c>
      <c r="C174" s="203">
        <f t="shared" si="18"/>
        <v>7.5886545695017356E-5</v>
      </c>
      <c r="D174" s="48">
        <v>7.7580199999999933E-2</v>
      </c>
      <c r="E174" s="203">
        <f t="shared" si="19"/>
        <v>5.8792406204303551E-4</v>
      </c>
      <c r="F174" s="48">
        <v>4.5595059999999972E-2</v>
      </c>
      <c r="G174" s="48">
        <v>1.4348219999999981E-2</v>
      </c>
      <c r="H174" s="189">
        <f t="shared" si="20"/>
        <v>5.9943279999999953E-2</v>
      </c>
      <c r="I174" s="203">
        <f t="shared" si="21"/>
        <v>4.5739799648964575E-4</v>
      </c>
      <c r="J174" s="203">
        <f t="shared" si="22"/>
        <v>1.4393767836236339E-4</v>
      </c>
      <c r="K174" s="189">
        <f t="shared" si="29"/>
        <v>-22.73379032278854</v>
      </c>
      <c r="L174" s="189">
        <f t="shared" si="30"/>
        <v>566.79955949586792</v>
      </c>
      <c r="M174" s="296"/>
      <c r="N174" s="296"/>
    </row>
    <row r="175" spans="1:14" x14ac:dyDescent="0.25">
      <c r="A175" s="21" t="s">
        <v>491</v>
      </c>
      <c r="B175" s="48">
        <v>7.0397819999999972E-2</v>
      </c>
      <c r="C175" s="203">
        <f t="shared" si="18"/>
        <v>5.9426314384902865E-4</v>
      </c>
      <c r="D175" s="48">
        <v>0.23874073999999998</v>
      </c>
      <c r="E175" s="203">
        <f t="shared" si="19"/>
        <v>1.809242894913397E-3</v>
      </c>
      <c r="F175" s="48">
        <v>4.1583889999999991E-2</v>
      </c>
      <c r="G175" s="48">
        <v>8.0708899999999903E-3</v>
      </c>
      <c r="H175" s="189">
        <f t="shared" si="20"/>
        <v>4.9654779999999982E-2</v>
      </c>
      <c r="I175" s="203">
        <f t="shared" si="21"/>
        <v>4.1715896354223075E-4</v>
      </c>
      <c r="J175" s="203">
        <f t="shared" si="22"/>
        <v>8.0965107094678999E-5</v>
      </c>
      <c r="K175" s="189" t="s">
        <v>240</v>
      </c>
      <c r="L175" s="189">
        <f t="shared" si="30"/>
        <v>-29.465457879235469</v>
      </c>
      <c r="M175" s="296"/>
      <c r="N175" s="296"/>
    </row>
    <row r="176" spans="1:14" x14ac:dyDescent="0.25">
      <c r="A176" s="21" t="s">
        <v>699</v>
      </c>
      <c r="B176" s="48">
        <v>9.3034129999999993E-2</v>
      </c>
      <c r="C176" s="203">
        <f t="shared" si="18"/>
        <v>7.8534753745299567E-4</v>
      </c>
      <c r="D176" s="48">
        <v>6.8766299999999905E-2</v>
      </c>
      <c r="E176" s="203">
        <f t="shared" si="19"/>
        <v>5.2112990721434038E-4</v>
      </c>
      <c r="F176" s="48">
        <v>4.7120000000000002E-2</v>
      </c>
      <c r="G176" s="48"/>
      <c r="H176" s="189">
        <f t="shared" si="20"/>
        <v>4.7120000000000002E-2</v>
      </c>
      <c r="I176" s="203">
        <f t="shared" si="21"/>
        <v>4.7269580508485184E-4</v>
      </c>
      <c r="J176" s="203">
        <f t="shared" si="22"/>
        <v>0</v>
      </c>
      <c r="K176" s="189">
        <f>((H176/D176)-1)*100</f>
        <v>-31.478064109890937</v>
      </c>
      <c r="L176" s="189">
        <f t="shared" si="30"/>
        <v>-49.351920633857695</v>
      </c>
      <c r="M176" s="296"/>
      <c r="N176" s="296"/>
    </row>
    <row r="177" spans="1:14" x14ac:dyDescent="0.25">
      <c r="A177" s="21" t="s">
        <v>550</v>
      </c>
      <c r="B177" s="48">
        <v>0</v>
      </c>
      <c r="C177" s="203">
        <f t="shared" si="18"/>
        <v>0</v>
      </c>
      <c r="D177" s="48">
        <v>2.8080000000000002E-3</v>
      </c>
      <c r="E177" s="203">
        <f t="shared" si="19"/>
        <v>2.1279795182493024E-5</v>
      </c>
      <c r="F177" s="48">
        <v>4.4057589999999987E-2</v>
      </c>
      <c r="G177" s="48"/>
      <c r="H177" s="189">
        <f t="shared" si="20"/>
        <v>4.4057589999999987E-2</v>
      </c>
      <c r="I177" s="203">
        <f t="shared" si="21"/>
        <v>4.4197449013472646E-4</v>
      </c>
      <c r="J177" s="203">
        <f t="shared" si="22"/>
        <v>0</v>
      </c>
      <c r="K177" s="189" t="s">
        <v>240</v>
      </c>
      <c r="L177" s="189" t="s">
        <v>240</v>
      </c>
      <c r="M177" s="296"/>
      <c r="N177" s="296"/>
    </row>
    <row r="178" spans="1:14" x14ac:dyDescent="0.25">
      <c r="A178" s="21" t="s">
        <v>703</v>
      </c>
      <c r="B178" s="48">
        <v>1.8765E-2</v>
      </c>
      <c r="C178" s="203">
        <f t="shared" si="18"/>
        <v>1.5840473319098553E-4</v>
      </c>
      <c r="D178" s="48">
        <v>1.65898E-3</v>
      </c>
      <c r="E178" s="203">
        <f t="shared" si="19"/>
        <v>1.2572206058351948E-5</v>
      </c>
      <c r="F178" s="48">
        <v>4.92218E-3</v>
      </c>
      <c r="G178" s="48">
        <v>3.7016869999999889E-2</v>
      </c>
      <c r="H178" s="189">
        <f t="shared" si="20"/>
        <v>4.1939049999999888E-2</v>
      </c>
      <c r="I178" s="203">
        <f t="shared" si="21"/>
        <v>4.9378052586429454E-5</v>
      </c>
      <c r="J178" s="203">
        <f t="shared" si="22"/>
        <v>3.7134378536441521E-4</v>
      </c>
      <c r="K178" s="189">
        <f>((H178/D178)-1)*100</f>
        <v>2428.0021458968699</v>
      </c>
      <c r="L178" s="189">
        <f t="shared" ref="L178:L191" si="31">((H178/B178)-1)*100</f>
        <v>123.49613642419337</v>
      </c>
      <c r="M178" s="296"/>
      <c r="N178" s="296"/>
    </row>
    <row r="179" spans="1:14" x14ac:dyDescent="0.25">
      <c r="A179" s="21" t="s">
        <v>530</v>
      </c>
      <c r="B179" s="48">
        <v>7.2787799999999995E-3</v>
      </c>
      <c r="C179" s="203">
        <f t="shared" si="18"/>
        <v>6.1443815819657964E-5</v>
      </c>
      <c r="D179" s="48">
        <v>9.7692269999999998E-2</v>
      </c>
      <c r="E179" s="203">
        <f t="shared" si="19"/>
        <v>7.4033885203447563E-4</v>
      </c>
      <c r="F179" s="48">
        <v>3.7501619999999999E-2</v>
      </c>
      <c r="G179" s="48"/>
      <c r="H179" s="189">
        <f t="shared" si="20"/>
        <v>3.7501619999999999E-2</v>
      </c>
      <c r="I179" s="203">
        <f t="shared" si="21"/>
        <v>3.7620667355446049E-4</v>
      </c>
      <c r="J179" s="203">
        <f t="shared" si="22"/>
        <v>0</v>
      </c>
      <c r="K179" s="189">
        <f>((H179/D179)-1)*100</f>
        <v>-61.612500149704786</v>
      </c>
      <c r="L179" s="189">
        <f t="shared" si="31"/>
        <v>415.2184844163445</v>
      </c>
      <c r="M179" s="296"/>
      <c r="N179" s="296"/>
    </row>
    <row r="180" spans="1:14" x14ac:dyDescent="0.25">
      <c r="A180" s="21" t="s">
        <v>709</v>
      </c>
      <c r="B180" s="48">
        <v>0.55763912000000004</v>
      </c>
      <c r="C180" s="203">
        <f t="shared" si="18"/>
        <v>4.707310206259311E-3</v>
      </c>
      <c r="D180" s="48">
        <v>2.800989999999999E-2</v>
      </c>
      <c r="E180" s="203">
        <f t="shared" si="19"/>
        <v>2.1226671477283157E-4</v>
      </c>
      <c r="F180" s="48">
        <v>3.5711659999999902E-2</v>
      </c>
      <c r="G180" s="48"/>
      <c r="H180" s="189">
        <f t="shared" si="20"/>
        <v>3.5711659999999902E-2</v>
      </c>
      <c r="I180" s="203">
        <f t="shared" si="21"/>
        <v>3.5825025200798925E-4</v>
      </c>
      <c r="J180" s="203">
        <f t="shared" si="22"/>
        <v>0</v>
      </c>
      <c r="K180" s="189">
        <f>((H180/D180)-1)*100</f>
        <v>27.496563714971913</v>
      </c>
      <c r="L180" s="189">
        <f t="shared" si="31"/>
        <v>-93.595919167220558</v>
      </c>
      <c r="M180" s="296"/>
      <c r="N180" s="296"/>
    </row>
    <row r="181" spans="1:14" x14ac:dyDescent="0.25">
      <c r="A181" s="21" t="s">
        <v>971</v>
      </c>
      <c r="B181" s="48">
        <v>0.13857040999999987</v>
      </c>
      <c r="C181" s="203">
        <f t="shared" si="18"/>
        <v>1.1697420103498775E-3</v>
      </c>
      <c r="D181" s="48">
        <v>2.4216800000000004E-2</v>
      </c>
      <c r="E181" s="203">
        <f t="shared" si="19"/>
        <v>1.8352156124479954E-4</v>
      </c>
      <c r="F181" s="48">
        <v>3.1336999999999997E-2</v>
      </c>
      <c r="G181" s="48"/>
      <c r="H181" s="189">
        <f t="shared" si="20"/>
        <v>3.1336999999999997E-2</v>
      </c>
      <c r="I181" s="203">
        <f t="shared" si="21"/>
        <v>3.143647802195246E-4</v>
      </c>
      <c r="J181" s="203">
        <f t="shared" si="22"/>
        <v>0</v>
      </c>
      <c r="K181" s="189">
        <f>((H181/D181)-1)*100</f>
        <v>29.401902811271484</v>
      </c>
      <c r="L181" s="189">
        <f t="shared" si="31"/>
        <v>-77.385503874889295</v>
      </c>
      <c r="M181" s="296"/>
      <c r="N181" s="296"/>
    </row>
    <row r="182" spans="1:14" x14ac:dyDescent="0.25">
      <c r="A182" s="21" t="s">
        <v>643</v>
      </c>
      <c r="B182" s="48">
        <v>1.7607825500000001</v>
      </c>
      <c r="C182" s="203">
        <f t="shared" si="18"/>
        <v>1.4863644553162438E-2</v>
      </c>
      <c r="D182" s="48">
        <v>9.2037199999999812E-3</v>
      </c>
      <c r="E182" s="203">
        <f t="shared" si="19"/>
        <v>6.9748317847939561E-5</v>
      </c>
      <c r="F182" s="48">
        <v>3.0072659999999991E-2</v>
      </c>
      <c r="G182" s="48"/>
      <c r="H182" s="189">
        <f t="shared" si="20"/>
        <v>3.0072659999999991E-2</v>
      </c>
      <c r="I182" s="203">
        <f t="shared" si="21"/>
        <v>3.0168124426449523E-4</v>
      </c>
      <c r="J182" s="203">
        <f t="shared" si="22"/>
        <v>0</v>
      </c>
      <c r="K182" s="189">
        <f>((H182/D182)-1)*100</f>
        <v>226.74462065338855</v>
      </c>
      <c r="L182" s="189">
        <f t="shared" si="31"/>
        <v>-98.292085527540024</v>
      </c>
      <c r="M182" s="296"/>
      <c r="N182" s="296"/>
    </row>
    <row r="183" spans="1:14" x14ac:dyDescent="0.25">
      <c r="A183" s="21" t="s">
        <v>485</v>
      </c>
      <c r="B183" s="48">
        <v>0.13705480999999986</v>
      </c>
      <c r="C183" s="203">
        <f t="shared" si="18"/>
        <v>1.1569480741055792E-3</v>
      </c>
      <c r="D183" s="48">
        <v>0.1665653899999999</v>
      </c>
      <c r="E183" s="203">
        <f t="shared" si="19"/>
        <v>1.2622782705456088E-3</v>
      </c>
      <c r="F183" s="48">
        <v>7.0899999999999999E-3</v>
      </c>
      <c r="G183" s="48">
        <v>2.2501299999999901E-2</v>
      </c>
      <c r="H183" s="189">
        <f t="shared" si="20"/>
        <v>2.95912999999999E-2</v>
      </c>
      <c r="I183" s="203">
        <f t="shared" si="21"/>
        <v>7.1125069143709659E-5</v>
      </c>
      <c r="J183" s="203">
        <f t="shared" si="22"/>
        <v>2.2572729454490087E-4</v>
      </c>
      <c r="K183" s="189" t="s">
        <v>240</v>
      </c>
      <c r="L183" s="189">
        <f t="shared" si="31"/>
        <v>-78.409148865333563</v>
      </c>
      <c r="M183" s="296"/>
      <c r="N183" s="296"/>
    </row>
    <row r="184" spans="1:14" x14ac:dyDescent="0.25">
      <c r="A184" s="21" t="s">
        <v>701</v>
      </c>
      <c r="B184" s="48">
        <v>0.15096609999999991</v>
      </c>
      <c r="C184" s="203">
        <f t="shared" si="18"/>
        <v>1.2743802180327007E-3</v>
      </c>
      <c r="D184" s="48">
        <v>3.8381929999999988E-2</v>
      </c>
      <c r="E184" s="203">
        <f t="shared" si="19"/>
        <v>2.9086880666267243E-4</v>
      </c>
      <c r="F184" s="48">
        <v>2.5323990000000001E-2</v>
      </c>
      <c r="G184" s="48"/>
      <c r="H184" s="189">
        <f t="shared" si="20"/>
        <v>2.5323990000000001E-2</v>
      </c>
      <c r="I184" s="203">
        <f t="shared" si="21"/>
        <v>2.5404379968189169E-4</v>
      </c>
      <c r="J184" s="203">
        <f t="shared" si="22"/>
        <v>0</v>
      </c>
      <c r="K184" s="189" t="s">
        <v>240</v>
      </c>
      <c r="L184" s="189">
        <f t="shared" si="31"/>
        <v>-83.225379737570222</v>
      </c>
      <c r="M184" s="296"/>
      <c r="N184" s="296"/>
    </row>
    <row r="185" spans="1:14" x14ac:dyDescent="0.25">
      <c r="A185" s="21" t="s">
        <v>602</v>
      </c>
      <c r="B185" s="48">
        <v>2.0013E-2</v>
      </c>
      <c r="C185" s="203">
        <f t="shared" si="18"/>
        <v>1.6893972423933883E-4</v>
      </c>
      <c r="D185" s="48">
        <v>1.4536E-2</v>
      </c>
      <c r="E185" s="203">
        <f t="shared" si="19"/>
        <v>1.1015780013273453E-4</v>
      </c>
      <c r="F185" s="48">
        <v>2.4306400000000002E-2</v>
      </c>
      <c r="G185" s="48"/>
      <c r="H185" s="189">
        <f t="shared" si="20"/>
        <v>2.4306400000000002E-2</v>
      </c>
      <c r="I185" s="203">
        <f t="shared" si="21"/>
        <v>2.4383559670446608E-4</v>
      </c>
      <c r="J185" s="203">
        <f t="shared" si="22"/>
        <v>0</v>
      </c>
      <c r="K185" s="189" t="s">
        <v>240</v>
      </c>
      <c r="L185" s="189">
        <f t="shared" si="31"/>
        <v>21.453055513915963</v>
      </c>
      <c r="M185" s="296"/>
      <c r="N185" s="296"/>
    </row>
    <row r="186" spans="1:14" x14ac:dyDescent="0.25">
      <c r="A186" s="21" t="s">
        <v>586</v>
      </c>
      <c r="B186" s="48">
        <v>1.44574E-3</v>
      </c>
      <c r="C186" s="203">
        <f t="shared" si="18"/>
        <v>1.2204213107569169E-5</v>
      </c>
      <c r="D186" s="48">
        <v>3.9567890000000001E-2</v>
      </c>
      <c r="E186" s="203">
        <f t="shared" si="19"/>
        <v>2.9985633725192797E-4</v>
      </c>
      <c r="F186" s="48">
        <v>2.346343E-2</v>
      </c>
      <c r="G186" s="48"/>
      <c r="H186" s="189">
        <f t="shared" si="20"/>
        <v>2.346343E-2</v>
      </c>
      <c r="I186" s="203">
        <f t="shared" si="21"/>
        <v>2.3537913696736128E-4</v>
      </c>
      <c r="J186" s="203">
        <f t="shared" si="22"/>
        <v>0</v>
      </c>
      <c r="K186" s="189" t="s">
        <v>240</v>
      </c>
      <c r="L186" s="189">
        <f t="shared" si="31"/>
        <v>1522.9356592471675</v>
      </c>
      <c r="M186" s="296"/>
      <c r="N186" s="296"/>
    </row>
    <row r="187" spans="1:14" x14ac:dyDescent="0.25">
      <c r="A187" s="21" t="s">
        <v>513</v>
      </c>
      <c r="B187" s="48">
        <v>0</v>
      </c>
      <c r="C187" s="203">
        <f t="shared" si="18"/>
        <v>0</v>
      </c>
      <c r="D187" s="48">
        <v>3.13042999999999E-3</v>
      </c>
      <c r="E187" s="203">
        <f t="shared" si="19"/>
        <v>2.3723258273907201E-5</v>
      </c>
      <c r="F187" s="48">
        <v>2.0961299999999902E-2</v>
      </c>
      <c r="G187" s="48"/>
      <c r="H187" s="189">
        <f t="shared" si="20"/>
        <v>2.0961299999999902E-2</v>
      </c>
      <c r="I187" s="203">
        <f t="shared" si="21"/>
        <v>2.1027840787616846E-4</v>
      </c>
      <c r="J187" s="203">
        <f t="shared" si="22"/>
        <v>0</v>
      </c>
      <c r="K187" s="189">
        <f t="shared" ref="K187:K193" si="32">((H187/D187)-1)*100</f>
        <v>569.59810633043912</v>
      </c>
      <c r="L187" s="189" t="s">
        <v>240</v>
      </c>
      <c r="M187" s="296"/>
      <c r="N187" s="296"/>
    </row>
    <row r="188" spans="1:14" x14ac:dyDescent="0.25">
      <c r="A188" s="21" t="s">
        <v>616</v>
      </c>
      <c r="B188" s="48">
        <v>6.3699999999999998E-4</v>
      </c>
      <c r="C188" s="203">
        <f t="shared" si="18"/>
        <v>5.3772350142636705E-6</v>
      </c>
      <c r="D188" s="48">
        <v>5.83855E-2</v>
      </c>
      <c r="E188" s="203">
        <f t="shared" si="19"/>
        <v>4.4246135385592818E-4</v>
      </c>
      <c r="F188" s="48">
        <v>2.0879670000000003E-2</v>
      </c>
      <c r="G188" s="48"/>
      <c r="H188" s="189">
        <f t="shared" si="20"/>
        <v>2.0879670000000003E-2</v>
      </c>
      <c r="I188" s="203">
        <f t="shared" si="21"/>
        <v>2.0945951656528073E-4</v>
      </c>
      <c r="J188" s="203">
        <f t="shared" si="22"/>
        <v>0</v>
      </c>
      <c r="K188" s="189">
        <f t="shared" si="32"/>
        <v>-64.238261212116015</v>
      </c>
      <c r="L188" s="189">
        <f t="shared" si="31"/>
        <v>3177.8131868131873</v>
      </c>
      <c r="M188" s="296"/>
      <c r="N188" s="296"/>
    </row>
    <row r="189" spans="1:14" x14ac:dyDescent="0.25">
      <c r="A189" s="21" t="s">
        <v>696</v>
      </c>
      <c r="B189" s="48">
        <v>2.6617900000000002E-3</v>
      </c>
      <c r="C189" s="203">
        <f t="shared" si="18"/>
        <v>2.2469498255285556E-5</v>
      </c>
      <c r="D189" s="48">
        <v>3.1719999999999999E-3</v>
      </c>
      <c r="E189" s="203">
        <f t="shared" si="19"/>
        <v>2.4038287150593968E-5</v>
      </c>
      <c r="F189" s="48">
        <v>1.9250989999999999E-2</v>
      </c>
      <c r="G189" s="48"/>
      <c r="H189" s="189">
        <f t="shared" si="20"/>
        <v>1.9250989999999999E-2</v>
      </c>
      <c r="I189" s="203">
        <f t="shared" si="21"/>
        <v>1.9312101478629947E-4</v>
      </c>
      <c r="J189" s="203">
        <f t="shared" si="22"/>
        <v>0</v>
      </c>
      <c r="K189" s="189">
        <f t="shared" si="32"/>
        <v>506.90384615384619</v>
      </c>
      <c r="L189" s="189">
        <f t="shared" si="31"/>
        <v>623.23474053174732</v>
      </c>
      <c r="M189" s="296"/>
      <c r="N189" s="296"/>
    </row>
    <row r="190" spans="1:14" x14ac:dyDescent="0.25">
      <c r="A190" s="21" t="s">
        <v>615</v>
      </c>
      <c r="B190" s="48">
        <v>2.0400000000000001E-3</v>
      </c>
      <c r="C190" s="203">
        <f t="shared" si="18"/>
        <v>1.7220658444423687E-5</v>
      </c>
      <c r="D190" s="48">
        <v>8.3820000000000006E-2</v>
      </c>
      <c r="E190" s="203">
        <f t="shared" si="19"/>
        <v>6.3521098012698195E-4</v>
      </c>
      <c r="F190" s="48">
        <v>4.213999999999999E-3</v>
      </c>
      <c r="G190" s="48">
        <v>1.300983E-2</v>
      </c>
      <c r="H190" s="189">
        <f t="shared" si="20"/>
        <v>1.7223829999999999E-2</v>
      </c>
      <c r="I190" s="203">
        <f t="shared" si="21"/>
        <v>4.227377170262235E-5</v>
      </c>
      <c r="J190" s="203">
        <f t="shared" si="22"/>
        <v>1.305112917204384E-4</v>
      </c>
      <c r="K190" s="189">
        <f t="shared" si="32"/>
        <v>-79.451407778573142</v>
      </c>
      <c r="L190" s="189">
        <f t="shared" si="31"/>
        <v>744.30539215686269</v>
      </c>
      <c r="M190" s="296"/>
      <c r="N190" s="296"/>
    </row>
    <row r="191" spans="1:14" x14ac:dyDescent="0.25">
      <c r="A191" s="21" t="s">
        <v>975</v>
      </c>
      <c r="B191" s="48">
        <v>6.5979999999999997E-3</v>
      </c>
      <c r="C191" s="203">
        <f t="shared" si="18"/>
        <v>5.5697011968778181E-5</v>
      </c>
      <c r="D191" s="48">
        <v>1.6397499999999999E-3</v>
      </c>
      <c r="E191" s="203">
        <f t="shared" si="19"/>
        <v>1.2426475837070132E-5</v>
      </c>
      <c r="F191" s="48">
        <v>1.2190680000000001E-2</v>
      </c>
      <c r="G191" s="48"/>
      <c r="H191" s="189">
        <f t="shared" si="20"/>
        <v>1.2190680000000001E-2</v>
      </c>
      <c r="I191" s="203">
        <f t="shared" si="21"/>
        <v>1.2229378813946948E-4</v>
      </c>
      <c r="J191" s="203">
        <f t="shared" si="22"/>
        <v>0</v>
      </c>
      <c r="K191" s="189">
        <f t="shared" si="32"/>
        <v>643.44747674950463</v>
      </c>
      <c r="L191" s="189">
        <f t="shared" si="31"/>
        <v>84.763261594422573</v>
      </c>
      <c r="M191" s="296"/>
      <c r="N191" s="296"/>
    </row>
    <row r="192" spans="1:14" x14ac:dyDescent="0.25">
      <c r="A192" s="21" t="s">
        <v>681</v>
      </c>
      <c r="B192" s="48">
        <v>3.3400000000000001E-3</v>
      </c>
      <c r="C192" s="203">
        <f t="shared" si="18"/>
        <v>2.8194607453125061E-5</v>
      </c>
      <c r="D192" s="48">
        <v>1.0117580499999999</v>
      </c>
      <c r="E192" s="203">
        <f t="shared" si="19"/>
        <v>7.6673803697430674E-3</v>
      </c>
      <c r="F192" s="48">
        <v>1.15695E-2</v>
      </c>
      <c r="G192" s="48"/>
      <c r="H192" s="189">
        <f t="shared" si="20"/>
        <v>1.15695E-2</v>
      </c>
      <c r="I192" s="203">
        <f t="shared" si="21"/>
        <v>1.1606226903499986E-4</v>
      </c>
      <c r="J192" s="203">
        <f t="shared" si="22"/>
        <v>0</v>
      </c>
      <c r="K192" s="189" t="s">
        <v>240</v>
      </c>
      <c r="L192" s="189" t="s">
        <v>240</v>
      </c>
      <c r="M192" s="296"/>
      <c r="N192" s="296"/>
    </row>
    <row r="193" spans="1:14" x14ac:dyDescent="0.25">
      <c r="A193" s="21" t="s">
        <v>545</v>
      </c>
      <c r="B193" s="48">
        <v>0.18025694000000003</v>
      </c>
      <c r="C193" s="203">
        <f t="shared" si="18"/>
        <v>1.5216388215573405E-3</v>
      </c>
      <c r="D193" s="48">
        <v>0.75624100000000005</v>
      </c>
      <c r="E193" s="203">
        <f t="shared" si="19"/>
        <v>5.7310019902434856E-3</v>
      </c>
      <c r="F193" s="48">
        <v>1.0343E-2</v>
      </c>
      <c r="G193" s="48"/>
      <c r="H193" s="189">
        <f t="shared" si="20"/>
        <v>1.0343E-2</v>
      </c>
      <c r="I193" s="203">
        <f t="shared" si="21"/>
        <v>1.0375833429525938E-4</v>
      </c>
      <c r="J193" s="203">
        <f t="shared" si="22"/>
        <v>0</v>
      </c>
      <c r="K193" s="189">
        <f t="shared" si="32"/>
        <v>-98.632314301922278</v>
      </c>
      <c r="L193" s="189">
        <f>((H193/B193)-1)*100</f>
        <v>-94.262079451698227</v>
      </c>
      <c r="M193" s="296"/>
      <c r="N193" s="296"/>
    </row>
    <row r="194" spans="1:14" x14ac:dyDescent="0.25">
      <c r="A194" s="21" t="s">
        <v>593</v>
      </c>
      <c r="B194" s="48">
        <v>0</v>
      </c>
      <c r="C194" s="203">
        <f t="shared" si="18"/>
        <v>0</v>
      </c>
      <c r="D194" s="48">
        <v>0</v>
      </c>
      <c r="E194" s="203">
        <f t="shared" si="19"/>
        <v>0</v>
      </c>
      <c r="F194" s="48">
        <v>1.005786E-2</v>
      </c>
      <c r="G194" s="48"/>
      <c r="H194" s="189">
        <f t="shared" si="20"/>
        <v>1.005786E-2</v>
      </c>
      <c r="I194" s="203">
        <f t="shared" si="21"/>
        <v>1.0089788264284226E-4</v>
      </c>
      <c r="J194" s="203">
        <f t="shared" si="22"/>
        <v>0</v>
      </c>
      <c r="K194" s="189" t="s">
        <v>240</v>
      </c>
      <c r="L194" s="189" t="s">
        <v>240</v>
      </c>
      <c r="M194" s="296"/>
      <c r="N194" s="296"/>
    </row>
    <row r="195" spans="1:14" x14ac:dyDescent="0.25">
      <c r="A195" s="21" t="s">
        <v>638</v>
      </c>
      <c r="B195" s="48">
        <v>2.0572710600000002</v>
      </c>
      <c r="C195" s="203">
        <f t="shared" si="18"/>
        <v>1.7366452084243859E-2</v>
      </c>
      <c r="D195" s="48">
        <v>1.35483999999999E-3</v>
      </c>
      <c r="E195" s="203">
        <f t="shared" si="19"/>
        <v>1.0267349610060056E-5</v>
      </c>
      <c r="F195" s="48">
        <v>8.7500000000000008E-3</v>
      </c>
      <c r="G195" s="48"/>
      <c r="H195" s="189">
        <f t="shared" si="20"/>
        <v>8.7500000000000008E-3</v>
      </c>
      <c r="I195" s="203">
        <f t="shared" si="21"/>
        <v>8.7777765163252403E-5</v>
      </c>
      <c r="J195" s="203">
        <f t="shared" si="22"/>
        <v>0</v>
      </c>
      <c r="K195" s="189">
        <f>((H195/D195)-1)*100</f>
        <v>545.83271825455893</v>
      </c>
      <c r="L195" s="189">
        <f>((H195/B195)-1)*100</f>
        <v>-99.574679284119227</v>
      </c>
      <c r="M195" s="296"/>
      <c r="N195" s="296"/>
    </row>
    <row r="196" spans="1:14" x14ac:dyDescent="0.25">
      <c r="A196" s="21" t="s">
        <v>549</v>
      </c>
      <c r="B196" s="48">
        <v>1.24598E-2</v>
      </c>
      <c r="C196" s="203">
        <f t="shared" ref="C196:C243" si="33">(B196/$B$245)*100</f>
        <v>1.051793921989364E-4</v>
      </c>
      <c r="D196" s="48">
        <v>1.0759480000000002E-2</v>
      </c>
      <c r="E196" s="203">
        <f t="shared" ref="E196:E243" si="34">(D196/$D$245)*100</f>
        <v>8.1538294398194466E-5</v>
      </c>
      <c r="F196" s="48">
        <v>8.6630000000000006E-3</v>
      </c>
      <c r="G196" s="48"/>
      <c r="H196" s="189">
        <f t="shared" ref="H196:H243" si="35">F196+G196</f>
        <v>8.6630000000000006E-3</v>
      </c>
      <c r="I196" s="203">
        <f t="shared" ref="I196:I243" si="36">(F196/$H$245)*100</f>
        <v>8.6905003383914929E-5</v>
      </c>
      <c r="J196" s="203">
        <f t="shared" ref="J196:J243" si="37">(G196/$H$245)*100</f>
        <v>0</v>
      </c>
      <c r="K196" s="189" t="s">
        <v>240</v>
      </c>
      <c r="L196" s="189">
        <f>((H196/B196)-1)*100</f>
        <v>-30.472399235942792</v>
      </c>
      <c r="M196" s="296"/>
      <c r="N196" s="296"/>
    </row>
    <row r="197" spans="1:14" x14ac:dyDescent="0.25">
      <c r="A197" s="21" t="s">
        <v>640</v>
      </c>
      <c r="B197" s="48">
        <v>0</v>
      </c>
      <c r="C197" s="203">
        <f t="shared" si="33"/>
        <v>0</v>
      </c>
      <c r="D197" s="48">
        <v>7.0409299999999991E-3</v>
      </c>
      <c r="E197" s="203">
        <f t="shared" si="34"/>
        <v>5.3358101244398356E-5</v>
      </c>
      <c r="F197" s="48">
        <v>7.8876800000000011E-3</v>
      </c>
      <c r="G197" s="48"/>
      <c r="H197" s="189">
        <f t="shared" si="35"/>
        <v>7.8876800000000011E-3</v>
      </c>
      <c r="I197" s="203">
        <f t="shared" si="36"/>
        <v>7.9127191168329461E-5</v>
      </c>
      <c r="J197" s="203">
        <f t="shared" si="37"/>
        <v>0</v>
      </c>
      <c r="K197" s="189" t="s">
        <v>240</v>
      </c>
      <c r="L197" s="189" t="s">
        <v>240</v>
      </c>
      <c r="M197" s="296"/>
      <c r="N197" s="296"/>
    </row>
    <row r="198" spans="1:14" x14ac:dyDescent="0.25">
      <c r="A198" s="21" t="s">
        <v>613</v>
      </c>
      <c r="B198" s="48">
        <v>1.0000000000000001E-5</v>
      </c>
      <c r="C198" s="203">
        <f t="shared" si="33"/>
        <v>8.441499237462592E-8</v>
      </c>
      <c r="D198" s="48">
        <v>3.3470000000000001E-3</v>
      </c>
      <c r="E198" s="203">
        <f t="shared" si="34"/>
        <v>2.5364485212180964E-5</v>
      </c>
      <c r="F198" s="48">
        <v>2.0000000000000002E-5</v>
      </c>
      <c r="G198" s="48">
        <v>7.3258900000000007E-3</v>
      </c>
      <c r="H198" s="189">
        <f t="shared" si="35"/>
        <v>7.3458900000000008E-3</v>
      </c>
      <c r="I198" s="203">
        <f t="shared" si="36"/>
        <v>2.0063489180171981E-7</v>
      </c>
      <c r="J198" s="203">
        <f t="shared" si="37"/>
        <v>7.3491457375065059E-5</v>
      </c>
      <c r="K198" s="189" t="s">
        <v>240</v>
      </c>
      <c r="L198" s="189">
        <f t="shared" ref="L198:L203" si="38">((H198/B198)-1)*100</f>
        <v>73358.900000000009</v>
      </c>
      <c r="M198" s="296"/>
      <c r="N198" s="296"/>
    </row>
    <row r="199" spans="1:14" x14ac:dyDescent="0.25">
      <c r="A199" s="21" t="s">
        <v>480</v>
      </c>
      <c r="B199" s="48">
        <v>3.2899999999999997E-4</v>
      </c>
      <c r="C199" s="203">
        <f t="shared" si="33"/>
        <v>2.7772532491251925E-6</v>
      </c>
      <c r="D199" s="48">
        <v>0.15745933999999989</v>
      </c>
      <c r="E199" s="203">
        <f t="shared" si="34"/>
        <v>1.1932701227815273E-3</v>
      </c>
      <c r="F199" s="48">
        <v>6.67389E-3</v>
      </c>
      <c r="G199" s="48"/>
      <c r="H199" s="189">
        <f t="shared" si="35"/>
        <v>6.67389E-3</v>
      </c>
      <c r="I199" s="203">
        <f t="shared" si="36"/>
        <v>6.6950759902328983E-5</v>
      </c>
      <c r="J199" s="203">
        <f t="shared" si="37"/>
        <v>0</v>
      </c>
      <c r="K199" s="189" t="s">
        <v>240</v>
      </c>
      <c r="L199" s="189">
        <f t="shared" si="38"/>
        <v>1928.5379939209729</v>
      </c>
      <c r="M199" s="296"/>
      <c r="N199" s="296"/>
    </row>
    <row r="200" spans="1:14" x14ac:dyDescent="0.25">
      <c r="A200" s="21" t="s">
        <v>605</v>
      </c>
      <c r="B200" s="48">
        <v>4.2364000000000006E-2</v>
      </c>
      <c r="C200" s="203">
        <f t="shared" si="33"/>
        <v>3.576156736958653E-4</v>
      </c>
      <c r="D200" s="48">
        <v>2.6236590000000001E-2</v>
      </c>
      <c r="E200" s="203">
        <f t="shared" si="34"/>
        <v>1.9882808457515833E-4</v>
      </c>
      <c r="F200" s="48">
        <v>5.9659999999999999E-3</v>
      </c>
      <c r="G200" s="48"/>
      <c r="H200" s="189">
        <f t="shared" si="35"/>
        <v>5.9659999999999999E-3</v>
      </c>
      <c r="I200" s="203">
        <f t="shared" si="36"/>
        <v>5.9849388224453008E-5</v>
      </c>
      <c r="J200" s="203">
        <f t="shared" si="37"/>
        <v>0</v>
      </c>
      <c r="K200" s="189" t="s">
        <v>240</v>
      </c>
      <c r="L200" s="189" t="s">
        <v>240</v>
      </c>
      <c r="M200" s="296"/>
      <c r="N200" s="296"/>
    </row>
    <row r="201" spans="1:14" x14ac:dyDescent="0.25">
      <c r="A201" s="21" t="s">
        <v>567</v>
      </c>
      <c r="B201" s="48">
        <v>1.4252459999999991E-2</v>
      </c>
      <c r="C201" s="203">
        <f t="shared" si="33"/>
        <v>1.2031213022196602E-4</v>
      </c>
      <c r="D201" s="48">
        <v>8.8199999999999997E-4</v>
      </c>
      <c r="E201" s="203">
        <f t="shared" si="34"/>
        <v>6.6840382303984501E-6</v>
      </c>
      <c r="F201" s="48">
        <v>3.24727E-3</v>
      </c>
      <c r="G201" s="48">
        <v>8.1390000000000005E-5</v>
      </c>
      <c r="H201" s="189">
        <f t="shared" si="35"/>
        <v>3.3286600000000002E-3</v>
      </c>
      <c r="I201" s="203">
        <f t="shared" si="36"/>
        <v>3.2575783255048526E-5</v>
      </c>
      <c r="J201" s="203">
        <f t="shared" si="37"/>
        <v>8.1648369218709863E-7</v>
      </c>
      <c r="K201" s="189">
        <f>((H201/D201)-1)*100</f>
        <v>277.39909297052156</v>
      </c>
      <c r="L201" s="189">
        <f t="shared" si="38"/>
        <v>-76.645014264204207</v>
      </c>
      <c r="M201" s="296"/>
      <c r="N201" s="296"/>
    </row>
    <row r="202" spans="1:14" x14ac:dyDescent="0.25">
      <c r="A202" s="21" t="s">
        <v>651</v>
      </c>
      <c r="B202" s="48">
        <v>0</v>
      </c>
      <c r="C202" s="203">
        <f t="shared" si="33"/>
        <v>0</v>
      </c>
      <c r="D202" s="48">
        <v>0</v>
      </c>
      <c r="E202" s="203">
        <f t="shared" si="34"/>
        <v>0</v>
      </c>
      <c r="F202" s="48">
        <v>2.5933699999999898E-3</v>
      </c>
      <c r="G202" s="48"/>
      <c r="H202" s="189">
        <f t="shared" si="35"/>
        <v>2.5933699999999898E-3</v>
      </c>
      <c r="I202" s="203">
        <f t="shared" si="36"/>
        <v>2.6016025467591201E-5</v>
      </c>
      <c r="J202" s="203">
        <f t="shared" si="37"/>
        <v>0</v>
      </c>
      <c r="K202" s="189" t="s">
        <v>240</v>
      </c>
      <c r="L202" s="189" t="s">
        <v>240</v>
      </c>
      <c r="M202" s="296"/>
      <c r="N202" s="296"/>
    </row>
    <row r="203" spans="1:14" x14ac:dyDescent="0.25">
      <c r="A203" s="21" t="s">
        <v>671</v>
      </c>
      <c r="B203" s="48">
        <v>3.39711999999999E-3</v>
      </c>
      <c r="C203" s="203">
        <f t="shared" si="33"/>
        <v>2.8676785889568836E-5</v>
      </c>
      <c r="D203" s="48">
        <v>6.4578199999999995E-3</v>
      </c>
      <c r="E203" s="203">
        <f t="shared" si="34"/>
        <v>4.8939133520444118E-5</v>
      </c>
      <c r="F203" s="48">
        <v>2.36987E-3</v>
      </c>
      <c r="G203" s="48"/>
      <c r="H203" s="189">
        <f t="shared" si="35"/>
        <v>2.36987E-3</v>
      </c>
      <c r="I203" s="203">
        <f t="shared" si="36"/>
        <v>2.3773930551707082E-5</v>
      </c>
      <c r="J203" s="203">
        <f t="shared" si="37"/>
        <v>0</v>
      </c>
      <c r="K203" s="189" t="s">
        <v>240</v>
      </c>
      <c r="L203" s="189">
        <f t="shared" si="38"/>
        <v>-30.238849378296706</v>
      </c>
      <c r="M203" s="296"/>
      <c r="N203" s="296"/>
    </row>
    <row r="204" spans="1:14" x14ac:dyDescent="0.25">
      <c r="A204" s="21" t="s">
        <v>685</v>
      </c>
      <c r="B204" s="48">
        <v>9.3948000000000002E-4</v>
      </c>
      <c r="C204" s="203">
        <f t="shared" si="33"/>
        <v>7.930619703611357E-6</v>
      </c>
      <c r="D204" s="48">
        <v>1.4139999999999999E-3</v>
      </c>
      <c r="E204" s="203">
        <f t="shared" si="34"/>
        <v>1.071568033762291E-5</v>
      </c>
      <c r="F204" s="48">
        <v>1.7704999999999999E-3</v>
      </c>
      <c r="G204" s="48"/>
      <c r="H204" s="189">
        <f t="shared" si="35"/>
        <v>1.7704999999999999E-3</v>
      </c>
      <c r="I204" s="203">
        <f t="shared" si="36"/>
        <v>1.7761203796747241E-5</v>
      </c>
      <c r="J204" s="203">
        <f t="shared" si="37"/>
        <v>0</v>
      </c>
      <c r="K204" s="189">
        <f>((H204/D204)-1)*100</f>
        <v>25.212164073550227</v>
      </c>
      <c r="L204" s="189" t="s">
        <v>240</v>
      </c>
      <c r="M204" s="296"/>
      <c r="N204" s="296"/>
    </row>
    <row r="205" spans="1:14" x14ac:dyDescent="0.25">
      <c r="A205" s="21" t="s">
        <v>662</v>
      </c>
      <c r="B205" s="48">
        <v>1.7138E-2</v>
      </c>
      <c r="C205" s="203">
        <f t="shared" si="33"/>
        <v>1.4467041393163391E-4</v>
      </c>
      <c r="D205" s="48">
        <v>0</v>
      </c>
      <c r="E205" s="203">
        <f t="shared" si="34"/>
        <v>0</v>
      </c>
      <c r="F205" s="48">
        <v>1.5E-3</v>
      </c>
      <c r="G205" s="48"/>
      <c r="H205" s="189">
        <f t="shared" si="35"/>
        <v>1.5E-3</v>
      </c>
      <c r="I205" s="203">
        <f t="shared" si="36"/>
        <v>1.5047616885128984E-5</v>
      </c>
      <c r="J205" s="203">
        <f t="shared" si="37"/>
        <v>0</v>
      </c>
      <c r="K205" s="189" t="s">
        <v>240</v>
      </c>
      <c r="L205" s="189">
        <f t="shared" ref="L205:L207" si="39">((H205/B205)-1)*100</f>
        <v>-91.247520130703691</v>
      </c>
      <c r="M205" s="296"/>
      <c r="N205" s="296"/>
    </row>
    <row r="206" spans="1:14" x14ac:dyDescent="0.25">
      <c r="A206" s="21" t="s">
        <v>575</v>
      </c>
      <c r="B206" s="48">
        <v>0</v>
      </c>
      <c r="C206" s="203">
        <f t="shared" si="33"/>
        <v>0</v>
      </c>
      <c r="D206" s="48">
        <v>2.6127852300000001</v>
      </c>
      <c r="E206" s="203">
        <f t="shared" si="34"/>
        <v>1.9800404042109303E-2</v>
      </c>
      <c r="F206" s="48">
        <v>1.488E-3</v>
      </c>
      <c r="G206" s="48"/>
      <c r="H206" s="189">
        <f t="shared" si="35"/>
        <v>1.488E-3</v>
      </c>
      <c r="I206" s="203">
        <f t="shared" si="36"/>
        <v>1.4927235950047952E-5</v>
      </c>
      <c r="J206" s="203">
        <f t="shared" si="37"/>
        <v>0</v>
      </c>
      <c r="K206" s="189" t="s">
        <v>240</v>
      </c>
      <c r="L206" s="189" t="s">
        <v>240</v>
      </c>
      <c r="M206" s="296"/>
      <c r="N206" s="296"/>
    </row>
    <row r="207" spans="1:14" x14ac:dyDescent="0.25">
      <c r="A207" s="21" t="s">
        <v>509</v>
      </c>
      <c r="B207" s="48">
        <v>2.4514000000000001E-2</v>
      </c>
      <c r="C207" s="203">
        <f t="shared" si="33"/>
        <v>2.0693491230715799E-4</v>
      </c>
      <c r="D207" s="48">
        <v>6.1464999999999999E-2</v>
      </c>
      <c r="E207" s="203">
        <f t="shared" si="34"/>
        <v>4.6579865060254044E-4</v>
      </c>
      <c r="F207" s="48">
        <v>9.6429999999999997E-4</v>
      </c>
      <c r="G207" s="48"/>
      <c r="H207" s="189">
        <f t="shared" si="35"/>
        <v>9.6429999999999997E-4</v>
      </c>
      <c r="I207" s="203">
        <f t="shared" si="36"/>
        <v>9.6736113082199194E-6</v>
      </c>
      <c r="J207" s="203">
        <f t="shared" si="37"/>
        <v>0</v>
      </c>
      <c r="K207" s="189" t="s">
        <v>240</v>
      </c>
      <c r="L207" s="189">
        <f t="shared" si="39"/>
        <v>-96.066329444399116</v>
      </c>
      <c r="M207" s="296"/>
      <c r="N207" s="296"/>
    </row>
    <row r="208" spans="1:14" x14ac:dyDescent="0.25">
      <c r="A208" s="21" t="s">
        <v>533</v>
      </c>
      <c r="B208" s="48">
        <v>0</v>
      </c>
      <c r="C208" s="203">
        <f t="shared" si="33"/>
        <v>0</v>
      </c>
      <c r="D208" s="48">
        <v>0</v>
      </c>
      <c r="E208" s="203">
        <f t="shared" si="34"/>
        <v>0</v>
      </c>
      <c r="F208" s="48">
        <v>5.8310999999999997E-4</v>
      </c>
      <c r="G208" s="48"/>
      <c r="H208" s="189">
        <f t="shared" si="35"/>
        <v>5.8310999999999997E-4</v>
      </c>
      <c r="I208" s="203">
        <f t="shared" si="36"/>
        <v>5.8496105879250407E-6</v>
      </c>
      <c r="J208" s="203">
        <f t="shared" si="37"/>
        <v>0</v>
      </c>
      <c r="K208" s="189" t="s">
        <v>240</v>
      </c>
      <c r="L208" s="189" t="s">
        <v>240</v>
      </c>
      <c r="M208" s="296"/>
      <c r="N208" s="296"/>
    </row>
    <row r="209" spans="1:14" x14ac:dyDescent="0.25">
      <c r="A209" s="21" t="s">
        <v>505</v>
      </c>
      <c r="B209" s="48">
        <v>0</v>
      </c>
      <c r="C209" s="203">
        <f t="shared" si="33"/>
        <v>0</v>
      </c>
      <c r="D209" s="48">
        <v>0</v>
      </c>
      <c r="E209" s="203">
        <f t="shared" si="34"/>
        <v>0</v>
      </c>
      <c r="F209" s="48">
        <v>3.0200000000000002E-4</v>
      </c>
      <c r="G209" s="48"/>
      <c r="H209" s="189">
        <f t="shared" si="35"/>
        <v>3.0200000000000002E-4</v>
      </c>
      <c r="I209" s="203">
        <f t="shared" si="36"/>
        <v>3.0295868662059694E-6</v>
      </c>
      <c r="J209" s="203">
        <f t="shared" si="37"/>
        <v>0</v>
      </c>
      <c r="K209" s="189" t="s">
        <v>240</v>
      </c>
      <c r="L209" s="189" t="s">
        <v>240</v>
      </c>
      <c r="M209" s="296"/>
      <c r="N209" s="296"/>
    </row>
    <row r="210" spans="1:14" x14ac:dyDescent="0.25">
      <c r="A210" s="21" t="s">
        <v>634</v>
      </c>
      <c r="B210" s="48">
        <v>0</v>
      </c>
      <c r="C210" s="203">
        <f t="shared" si="33"/>
        <v>0</v>
      </c>
      <c r="D210" s="48">
        <v>1.0499999999999999E-3</v>
      </c>
      <c r="E210" s="203">
        <f t="shared" si="34"/>
        <v>7.9571883695219632E-6</v>
      </c>
      <c r="F210" s="48">
        <v>1.1E-4</v>
      </c>
      <c r="G210" s="48"/>
      <c r="H210" s="189">
        <f t="shared" si="35"/>
        <v>1.1E-4</v>
      </c>
      <c r="I210" s="203">
        <f t="shared" si="36"/>
        <v>1.1034919049094588E-6</v>
      </c>
      <c r="J210" s="203">
        <f t="shared" si="37"/>
        <v>0</v>
      </c>
      <c r="K210" s="189">
        <f>((H210/D210)-1)*100</f>
        <v>-89.523809523809518</v>
      </c>
      <c r="L210" s="189" t="s">
        <v>240</v>
      </c>
      <c r="M210" s="296"/>
      <c r="N210" s="296"/>
    </row>
    <row r="211" spans="1:14" x14ac:dyDescent="0.25">
      <c r="A211" s="21" t="s">
        <v>707</v>
      </c>
      <c r="B211" s="48">
        <v>0.15168116999999998</v>
      </c>
      <c r="C211" s="203">
        <f t="shared" si="33"/>
        <v>1.2804164808924334E-3</v>
      </c>
      <c r="D211" s="48">
        <v>0</v>
      </c>
      <c r="E211" s="203">
        <f t="shared" si="34"/>
        <v>0</v>
      </c>
      <c r="F211" s="48">
        <v>1E-4</v>
      </c>
      <c r="G211" s="48"/>
      <c r="H211" s="189">
        <f t="shared" si="35"/>
        <v>1E-4</v>
      </c>
      <c r="I211" s="203">
        <f t="shared" si="36"/>
        <v>1.0031744590085988E-6</v>
      </c>
      <c r="J211" s="203">
        <f t="shared" si="37"/>
        <v>0</v>
      </c>
      <c r="K211" s="189" t="s">
        <v>240</v>
      </c>
      <c r="L211" s="189" t="s">
        <v>240</v>
      </c>
      <c r="M211" s="296"/>
      <c r="N211" s="296"/>
    </row>
    <row r="212" spans="1:14" x14ac:dyDescent="0.25">
      <c r="A212" s="21" t="s">
        <v>687</v>
      </c>
      <c r="B212" s="48">
        <v>1.652E-2</v>
      </c>
      <c r="C212" s="203">
        <f t="shared" si="33"/>
        <v>1.3945356740288202E-4</v>
      </c>
      <c r="D212" s="48">
        <v>0</v>
      </c>
      <c r="E212" s="203">
        <f t="shared" si="34"/>
        <v>0</v>
      </c>
      <c r="F212" s="48">
        <v>1E-4</v>
      </c>
      <c r="G212" s="48"/>
      <c r="H212" s="189">
        <f t="shared" si="35"/>
        <v>1E-4</v>
      </c>
      <c r="I212" s="203">
        <f t="shared" si="36"/>
        <v>1.0031744590085988E-6</v>
      </c>
      <c r="J212" s="203">
        <f t="shared" si="37"/>
        <v>0</v>
      </c>
      <c r="K212" s="189" t="s">
        <v>240</v>
      </c>
      <c r="L212" s="189" t="s">
        <v>240</v>
      </c>
      <c r="M212" s="296"/>
      <c r="N212" s="296"/>
    </row>
    <row r="213" spans="1:14" x14ac:dyDescent="0.25">
      <c r="A213" s="21" t="s">
        <v>656</v>
      </c>
      <c r="B213" s="48">
        <v>1.609693999999999E-2</v>
      </c>
      <c r="C213" s="203">
        <f t="shared" si="33"/>
        <v>1.3588230673548102E-4</v>
      </c>
      <c r="D213" s="48">
        <v>0</v>
      </c>
      <c r="E213" s="203">
        <f t="shared" si="34"/>
        <v>0</v>
      </c>
      <c r="F213" s="48">
        <v>5.0000000000000002E-5</v>
      </c>
      <c r="G213" s="48"/>
      <c r="H213" s="189">
        <f t="shared" si="35"/>
        <v>5.0000000000000002E-5</v>
      </c>
      <c r="I213" s="203">
        <f t="shared" si="36"/>
        <v>5.0158722950429942E-7</v>
      </c>
      <c r="J213" s="203">
        <f t="shared" si="37"/>
        <v>0</v>
      </c>
      <c r="K213" s="189" t="s">
        <v>240</v>
      </c>
      <c r="L213" s="189">
        <f>((H213/B213)-1)*100</f>
        <v>-99.68938195706761</v>
      </c>
      <c r="M213" s="296"/>
      <c r="N213" s="296"/>
    </row>
    <row r="214" spans="1:14" x14ac:dyDescent="0.25">
      <c r="A214" s="21" t="s">
        <v>601</v>
      </c>
      <c r="B214" s="48">
        <v>0</v>
      </c>
      <c r="C214" s="203">
        <f t="shared" si="33"/>
        <v>0</v>
      </c>
      <c r="D214" s="48">
        <v>6.0461369999999903E-2</v>
      </c>
      <c r="E214" s="203">
        <f t="shared" si="34"/>
        <v>4.5819286682796515E-4</v>
      </c>
      <c r="F214" s="48">
        <v>4.5000000000000003E-5</v>
      </c>
      <c r="G214" s="48"/>
      <c r="H214" s="189">
        <f t="shared" si="35"/>
        <v>4.5000000000000003E-5</v>
      </c>
      <c r="I214" s="203">
        <f t="shared" si="36"/>
        <v>4.5142850655386949E-7</v>
      </c>
      <c r="J214" s="203">
        <f t="shared" si="37"/>
        <v>0</v>
      </c>
      <c r="K214" s="189" t="s">
        <v>240</v>
      </c>
      <c r="L214" s="189" t="s">
        <v>240</v>
      </c>
      <c r="M214" s="296"/>
      <c r="N214" s="296"/>
    </row>
    <row r="215" spans="1:14" x14ac:dyDescent="0.25">
      <c r="A215" s="21" t="s">
        <v>711</v>
      </c>
      <c r="B215" s="48">
        <v>0</v>
      </c>
      <c r="C215" s="203">
        <f t="shared" si="33"/>
        <v>0</v>
      </c>
      <c r="D215" s="48">
        <v>0</v>
      </c>
      <c r="E215" s="203">
        <f t="shared" si="34"/>
        <v>0</v>
      </c>
      <c r="F215" s="48">
        <v>3.5460000000000003E-5</v>
      </c>
      <c r="G215" s="48"/>
      <c r="H215" s="189">
        <f t="shared" si="35"/>
        <v>3.5460000000000003E-5</v>
      </c>
      <c r="I215" s="203">
        <f t="shared" si="36"/>
        <v>3.5572566316444918E-7</v>
      </c>
      <c r="J215" s="203">
        <f t="shared" si="37"/>
        <v>0</v>
      </c>
      <c r="K215" s="189" t="s">
        <v>240</v>
      </c>
      <c r="L215" s="189" t="s">
        <v>240</v>
      </c>
      <c r="M215" s="296"/>
      <c r="N215" s="296"/>
    </row>
    <row r="216" spans="1:14" x14ac:dyDescent="0.25">
      <c r="A216" s="21" t="s">
        <v>708</v>
      </c>
      <c r="B216" s="48">
        <v>0</v>
      </c>
      <c r="C216" s="203">
        <f t="shared" si="33"/>
        <v>0</v>
      </c>
      <c r="D216" s="48">
        <v>0</v>
      </c>
      <c r="E216" s="203">
        <f t="shared" si="34"/>
        <v>0</v>
      </c>
      <c r="F216" s="48">
        <v>1.0000000000000001E-5</v>
      </c>
      <c r="G216" s="48"/>
      <c r="H216" s="189">
        <f t="shared" si="35"/>
        <v>1.0000000000000001E-5</v>
      </c>
      <c r="I216" s="203">
        <f t="shared" si="36"/>
        <v>1.003174459008599E-7</v>
      </c>
      <c r="J216" s="203">
        <f t="shared" si="37"/>
        <v>0</v>
      </c>
      <c r="K216" s="189" t="s">
        <v>240</v>
      </c>
      <c r="L216" s="189" t="s">
        <v>240</v>
      </c>
      <c r="M216" s="296"/>
      <c r="N216" s="296"/>
    </row>
    <row r="217" spans="1:14" x14ac:dyDescent="0.25">
      <c r="A217" s="21" t="s">
        <v>721</v>
      </c>
      <c r="B217" s="48">
        <v>2.0940758599999989</v>
      </c>
      <c r="C217" s="203">
        <f t="shared" si="33"/>
        <v>1.7677139775378811E-2</v>
      </c>
      <c r="D217" s="48">
        <v>1.0188998899999979</v>
      </c>
      <c r="E217" s="203">
        <f t="shared" si="34"/>
        <v>7.7215031946811351E-3</v>
      </c>
      <c r="F217" s="48"/>
      <c r="G217" s="48"/>
      <c r="H217" s="189">
        <f t="shared" si="35"/>
        <v>0</v>
      </c>
      <c r="I217" s="203">
        <f t="shared" si="36"/>
        <v>0</v>
      </c>
      <c r="J217" s="203">
        <f t="shared" si="37"/>
        <v>0</v>
      </c>
      <c r="K217" s="189" t="s">
        <v>240</v>
      </c>
      <c r="L217" s="189" t="s">
        <v>240</v>
      </c>
      <c r="M217" s="296"/>
      <c r="N217" s="296"/>
    </row>
    <row r="218" spans="1:14" x14ac:dyDescent="0.25">
      <c r="A218" s="21" t="s">
        <v>716</v>
      </c>
      <c r="B218" s="48">
        <v>0</v>
      </c>
      <c r="C218" s="203">
        <f t="shared" si="33"/>
        <v>0</v>
      </c>
      <c r="D218" s="48">
        <v>0.6552</v>
      </c>
      <c r="E218" s="203">
        <f t="shared" si="34"/>
        <v>4.9652855425817051E-3</v>
      </c>
      <c r="F218" s="48"/>
      <c r="G218" s="48"/>
      <c r="H218" s="189">
        <f t="shared" si="35"/>
        <v>0</v>
      </c>
      <c r="I218" s="203">
        <f t="shared" si="36"/>
        <v>0</v>
      </c>
      <c r="J218" s="203">
        <f t="shared" si="37"/>
        <v>0</v>
      </c>
      <c r="K218" s="189" t="s">
        <v>240</v>
      </c>
      <c r="L218" s="189" t="s">
        <v>240</v>
      </c>
      <c r="M218" s="296"/>
      <c r="N218" s="296"/>
    </row>
    <row r="219" spans="1:14" x14ac:dyDescent="0.25">
      <c r="A219" s="21" t="s">
        <v>710</v>
      </c>
      <c r="B219" s="48">
        <v>6.9447600000000003E-3</v>
      </c>
      <c r="C219" s="203">
        <f t="shared" si="33"/>
        <v>5.8624186244360713E-5</v>
      </c>
      <c r="D219" s="48">
        <v>4.0801399999999899E-3</v>
      </c>
      <c r="E219" s="203">
        <f t="shared" si="34"/>
        <v>3.0920421480020253E-5</v>
      </c>
      <c r="F219" s="48"/>
      <c r="G219" s="48"/>
      <c r="H219" s="189">
        <f t="shared" si="35"/>
        <v>0</v>
      </c>
      <c r="I219" s="203">
        <f t="shared" si="36"/>
        <v>0</v>
      </c>
      <c r="J219" s="203">
        <f t="shared" si="37"/>
        <v>0</v>
      </c>
      <c r="K219" s="189" t="s">
        <v>240</v>
      </c>
      <c r="L219" s="189" t="s">
        <v>240</v>
      </c>
      <c r="M219" s="296"/>
      <c r="N219" s="296"/>
    </row>
    <row r="220" spans="1:14" x14ac:dyDescent="0.25">
      <c r="A220" s="21" t="s">
        <v>698</v>
      </c>
      <c r="B220" s="48">
        <v>0</v>
      </c>
      <c r="C220" s="203">
        <f t="shared" si="33"/>
        <v>0</v>
      </c>
      <c r="D220" s="48">
        <v>3.4499999999999998E-4</v>
      </c>
      <c r="E220" s="203">
        <f t="shared" si="34"/>
        <v>2.6145047499857878E-6</v>
      </c>
      <c r="F220" s="48"/>
      <c r="G220" s="48"/>
      <c r="H220" s="189">
        <f t="shared" si="35"/>
        <v>0</v>
      </c>
      <c r="I220" s="203">
        <f t="shared" si="36"/>
        <v>0</v>
      </c>
      <c r="J220" s="203">
        <f t="shared" si="37"/>
        <v>0</v>
      </c>
      <c r="K220" s="189" t="s">
        <v>240</v>
      </c>
      <c r="L220" s="189" t="s">
        <v>240</v>
      </c>
      <c r="M220" s="296"/>
      <c r="N220" s="296"/>
    </row>
    <row r="221" spans="1:14" x14ac:dyDescent="0.25">
      <c r="A221" s="21" t="s">
        <v>531</v>
      </c>
      <c r="B221" s="48">
        <v>7.7999999999999999E-5</v>
      </c>
      <c r="C221" s="203">
        <f t="shared" si="33"/>
        <v>6.5843694052208218E-7</v>
      </c>
      <c r="D221" s="48">
        <v>0</v>
      </c>
      <c r="E221" s="203">
        <f t="shared" si="34"/>
        <v>0</v>
      </c>
      <c r="F221" s="48"/>
      <c r="G221" s="48"/>
      <c r="H221" s="189">
        <f t="shared" si="35"/>
        <v>0</v>
      </c>
      <c r="I221" s="203">
        <f t="shared" si="36"/>
        <v>0</v>
      </c>
      <c r="J221" s="203">
        <f t="shared" si="37"/>
        <v>0</v>
      </c>
      <c r="K221" s="189" t="s">
        <v>240</v>
      </c>
      <c r="L221" s="189" t="s">
        <v>240</v>
      </c>
      <c r="M221" s="296"/>
      <c r="N221" s="296"/>
    </row>
    <row r="222" spans="1:14" x14ac:dyDescent="0.25">
      <c r="A222" s="21" t="s">
        <v>692</v>
      </c>
      <c r="B222" s="48">
        <v>0</v>
      </c>
      <c r="C222" s="203">
        <f t="shared" si="33"/>
        <v>0</v>
      </c>
      <c r="D222" s="48">
        <v>1.008E-3</v>
      </c>
      <c r="E222" s="203">
        <f t="shared" si="34"/>
        <v>7.6389008347410853E-6</v>
      </c>
      <c r="F222" s="48"/>
      <c r="G222" s="48"/>
      <c r="H222" s="189">
        <f t="shared" si="35"/>
        <v>0</v>
      </c>
      <c r="I222" s="203">
        <f t="shared" si="36"/>
        <v>0</v>
      </c>
      <c r="J222" s="203">
        <f t="shared" si="37"/>
        <v>0</v>
      </c>
      <c r="K222" s="189" t="s">
        <v>240</v>
      </c>
      <c r="L222" s="189" t="s">
        <v>240</v>
      </c>
      <c r="M222" s="296"/>
      <c r="N222" s="296"/>
    </row>
    <row r="223" spans="1:14" x14ac:dyDescent="0.25">
      <c r="A223" s="21" t="s">
        <v>947</v>
      </c>
      <c r="B223" s="48">
        <v>0</v>
      </c>
      <c r="C223" s="203">
        <f t="shared" si="33"/>
        <v>0</v>
      </c>
      <c r="D223" s="48">
        <v>0.32730300000000001</v>
      </c>
      <c r="E223" s="203">
        <f t="shared" si="34"/>
        <v>2.4803920237234738E-3</v>
      </c>
      <c r="F223" s="48"/>
      <c r="G223" s="48"/>
      <c r="H223" s="189">
        <f t="shared" si="35"/>
        <v>0</v>
      </c>
      <c r="I223" s="203">
        <f t="shared" si="36"/>
        <v>0</v>
      </c>
      <c r="J223" s="203">
        <f t="shared" si="37"/>
        <v>0</v>
      </c>
      <c r="K223" s="189" t="s">
        <v>240</v>
      </c>
      <c r="L223" s="189" t="s">
        <v>240</v>
      </c>
      <c r="M223" s="296"/>
      <c r="N223" s="296"/>
    </row>
    <row r="224" spans="1:14" x14ac:dyDescent="0.25">
      <c r="A224" s="21" t="s">
        <v>686</v>
      </c>
      <c r="B224" s="48">
        <v>3.539987E-2</v>
      </c>
      <c r="C224" s="203">
        <f t="shared" si="33"/>
        <v>2.9882797561127486E-4</v>
      </c>
      <c r="D224" s="48">
        <v>0</v>
      </c>
      <c r="E224" s="203">
        <f t="shared" si="34"/>
        <v>0</v>
      </c>
      <c r="F224" s="48"/>
      <c r="G224" s="48"/>
      <c r="H224" s="189">
        <f t="shared" si="35"/>
        <v>0</v>
      </c>
      <c r="I224" s="203">
        <f t="shared" si="36"/>
        <v>0</v>
      </c>
      <c r="J224" s="203">
        <f t="shared" si="37"/>
        <v>0</v>
      </c>
      <c r="K224" s="189" t="s">
        <v>240</v>
      </c>
      <c r="L224" s="189" t="s">
        <v>240</v>
      </c>
      <c r="M224" s="296"/>
      <c r="N224" s="296"/>
    </row>
    <row r="225" spans="1:14" x14ac:dyDescent="0.25">
      <c r="A225" s="21" t="s">
        <v>679</v>
      </c>
      <c r="B225" s="48">
        <v>7.7000000000000001E-5</v>
      </c>
      <c r="C225" s="203">
        <f t="shared" si="33"/>
        <v>6.4999544128461959E-7</v>
      </c>
      <c r="D225" s="48">
        <v>0</v>
      </c>
      <c r="E225" s="203">
        <f t="shared" si="34"/>
        <v>0</v>
      </c>
      <c r="F225" s="48"/>
      <c r="G225" s="48"/>
      <c r="H225" s="189">
        <f t="shared" si="35"/>
        <v>0</v>
      </c>
      <c r="I225" s="203">
        <f t="shared" si="36"/>
        <v>0</v>
      </c>
      <c r="J225" s="203">
        <f t="shared" si="37"/>
        <v>0</v>
      </c>
      <c r="K225" s="189" t="s">
        <v>240</v>
      </c>
      <c r="L225" s="189" t="s">
        <v>240</v>
      </c>
      <c r="M225" s="296"/>
      <c r="N225" s="296"/>
    </row>
    <row r="226" spans="1:14" x14ac:dyDescent="0.25">
      <c r="A226" s="21" t="s">
        <v>677</v>
      </c>
      <c r="B226" s="48">
        <v>1.8680000000000001E-3</v>
      </c>
      <c r="C226" s="203">
        <f t="shared" si="33"/>
        <v>1.5768720575580123E-5</v>
      </c>
      <c r="D226" s="48">
        <v>0</v>
      </c>
      <c r="E226" s="203">
        <f t="shared" si="34"/>
        <v>0</v>
      </c>
      <c r="F226" s="48"/>
      <c r="G226" s="48"/>
      <c r="H226" s="189">
        <f t="shared" si="35"/>
        <v>0</v>
      </c>
      <c r="I226" s="203">
        <f t="shared" si="36"/>
        <v>0</v>
      </c>
      <c r="J226" s="203">
        <f t="shared" si="37"/>
        <v>0</v>
      </c>
      <c r="K226" s="189" t="s">
        <v>240</v>
      </c>
      <c r="L226" s="189" t="s">
        <v>240</v>
      </c>
      <c r="M226" s="296"/>
      <c r="N226" s="296"/>
    </row>
    <row r="227" spans="1:14" x14ac:dyDescent="0.25">
      <c r="A227" s="21" t="s">
        <v>669</v>
      </c>
      <c r="B227" s="48">
        <v>0.46318300000000001</v>
      </c>
      <c r="C227" s="203">
        <f t="shared" si="33"/>
        <v>3.9099589413056357E-3</v>
      </c>
      <c r="D227" s="48">
        <v>4.5504000000000003E-2</v>
      </c>
      <c r="E227" s="203">
        <f t="shared" si="34"/>
        <v>3.4484180911116904E-4</v>
      </c>
      <c r="F227" s="48"/>
      <c r="G227" s="48"/>
      <c r="H227" s="189">
        <f t="shared" si="35"/>
        <v>0</v>
      </c>
      <c r="I227" s="203">
        <f t="shared" si="36"/>
        <v>0</v>
      </c>
      <c r="J227" s="203">
        <f t="shared" si="37"/>
        <v>0</v>
      </c>
      <c r="K227" s="189" t="s">
        <v>240</v>
      </c>
      <c r="L227" s="189" t="s">
        <v>240</v>
      </c>
      <c r="M227" s="296"/>
      <c r="N227" s="296"/>
    </row>
    <row r="228" spans="1:14" x14ac:dyDescent="0.25">
      <c r="A228" s="21" t="s">
        <v>664</v>
      </c>
      <c r="B228" s="48">
        <v>0</v>
      </c>
      <c r="C228" s="203">
        <f t="shared" si="33"/>
        <v>0</v>
      </c>
      <c r="D228" s="48">
        <v>5.9992600000000002E-3</v>
      </c>
      <c r="E228" s="203">
        <f t="shared" si="34"/>
        <v>4.5464039902607941E-5</v>
      </c>
      <c r="F228" s="48"/>
      <c r="G228" s="48"/>
      <c r="H228" s="189">
        <f t="shared" si="35"/>
        <v>0</v>
      </c>
      <c r="I228" s="203">
        <f t="shared" si="36"/>
        <v>0</v>
      </c>
      <c r="J228" s="203">
        <f t="shared" si="37"/>
        <v>0</v>
      </c>
      <c r="K228" s="189" t="s">
        <v>240</v>
      </c>
      <c r="L228" s="189" t="s">
        <v>240</v>
      </c>
      <c r="M228" s="296"/>
      <c r="N228" s="296"/>
    </row>
    <row r="229" spans="1:14" x14ac:dyDescent="0.25">
      <c r="A229" s="21" t="s">
        <v>659</v>
      </c>
      <c r="B229" s="48">
        <v>0</v>
      </c>
      <c r="C229" s="203">
        <f t="shared" si="33"/>
        <v>0</v>
      </c>
      <c r="D229" s="48">
        <v>1.56E-4</v>
      </c>
      <c r="E229" s="203">
        <f t="shared" si="34"/>
        <v>1.1822108434718346E-6</v>
      </c>
      <c r="F229" s="48"/>
      <c r="G229" s="48"/>
      <c r="H229" s="189">
        <f t="shared" si="35"/>
        <v>0</v>
      </c>
      <c r="I229" s="203">
        <f t="shared" si="36"/>
        <v>0</v>
      </c>
      <c r="J229" s="203">
        <f t="shared" si="37"/>
        <v>0</v>
      </c>
      <c r="K229" s="189" t="s">
        <v>240</v>
      </c>
      <c r="L229" s="189" t="s">
        <v>240</v>
      </c>
      <c r="M229" s="296"/>
      <c r="N229" s="296"/>
    </row>
    <row r="230" spans="1:14" x14ac:dyDescent="0.25">
      <c r="A230" s="21" t="s">
        <v>639</v>
      </c>
      <c r="B230" s="48">
        <v>0</v>
      </c>
      <c r="C230" s="203">
        <f t="shared" si="33"/>
        <v>0</v>
      </c>
      <c r="D230" s="48">
        <v>5.9565080699999999</v>
      </c>
      <c r="E230" s="203">
        <f t="shared" si="34"/>
        <v>4.5140054035778775E-2</v>
      </c>
      <c r="F230" s="48"/>
      <c r="G230" s="48"/>
      <c r="H230" s="189">
        <f t="shared" si="35"/>
        <v>0</v>
      </c>
      <c r="I230" s="203">
        <f t="shared" si="36"/>
        <v>0</v>
      </c>
      <c r="J230" s="203">
        <f t="shared" si="37"/>
        <v>0</v>
      </c>
      <c r="K230" s="189" t="s">
        <v>240</v>
      </c>
      <c r="L230" s="189" t="s">
        <v>240</v>
      </c>
      <c r="M230" s="296"/>
      <c r="N230" s="296"/>
    </row>
    <row r="231" spans="1:14" x14ac:dyDescent="0.25">
      <c r="A231" s="21" t="s">
        <v>627</v>
      </c>
      <c r="B231" s="48">
        <v>0.11171734999999991</v>
      </c>
      <c r="C231" s="203">
        <f t="shared" si="33"/>
        <v>9.4306192483634068E-4</v>
      </c>
      <c r="D231" s="48">
        <v>1.1056E-2</v>
      </c>
      <c r="E231" s="203">
        <f t="shared" si="34"/>
        <v>8.3785404393747464E-5</v>
      </c>
      <c r="F231" s="48"/>
      <c r="G231" s="48"/>
      <c r="H231" s="189">
        <f t="shared" si="35"/>
        <v>0</v>
      </c>
      <c r="I231" s="203">
        <f t="shared" si="36"/>
        <v>0</v>
      </c>
      <c r="J231" s="203">
        <f t="shared" si="37"/>
        <v>0</v>
      </c>
      <c r="K231" s="189">
        <f>((H231/D231)-1)*100</f>
        <v>-100</v>
      </c>
      <c r="L231" s="189">
        <f>((H231/B231)-1)*100</f>
        <v>-100</v>
      </c>
      <c r="M231" s="296"/>
      <c r="N231" s="296"/>
    </row>
    <row r="232" spans="1:14" x14ac:dyDescent="0.25">
      <c r="A232" s="21" t="s">
        <v>625</v>
      </c>
      <c r="B232" s="48">
        <v>1.5386944899999999</v>
      </c>
      <c r="C232" s="203">
        <f t="shared" si="33"/>
        <v>1.298888836402289E-2</v>
      </c>
      <c r="D232" s="48">
        <v>9.6299999999999997E-3</v>
      </c>
      <c r="E232" s="203">
        <f t="shared" si="34"/>
        <v>7.2978784760472864E-5</v>
      </c>
      <c r="F232" s="48"/>
      <c r="G232" s="48"/>
      <c r="H232" s="189">
        <f t="shared" si="35"/>
        <v>0</v>
      </c>
      <c r="I232" s="203">
        <f t="shared" si="36"/>
        <v>0</v>
      </c>
      <c r="J232" s="203">
        <f t="shared" si="37"/>
        <v>0</v>
      </c>
      <c r="K232" s="189" t="s">
        <v>240</v>
      </c>
      <c r="L232" s="189">
        <f>((H232/B232)-1)*100</f>
        <v>-100</v>
      </c>
      <c r="M232" s="296"/>
      <c r="N232" s="296"/>
    </row>
    <row r="233" spans="1:14" x14ac:dyDescent="0.25">
      <c r="A233" s="21" t="s">
        <v>620</v>
      </c>
      <c r="B233" s="48">
        <v>6.0000000000000002E-5</v>
      </c>
      <c r="C233" s="203">
        <f t="shared" si="33"/>
        <v>5.0648995424775557E-7</v>
      </c>
      <c r="D233" s="48">
        <v>0</v>
      </c>
      <c r="E233" s="203">
        <f t="shared" si="34"/>
        <v>0</v>
      </c>
      <c r="F233" s="48"/>
      <c r="G233" s="48"/>
      <c r="H233" s="189">
        <f t="shared" si="35"/>
        <v>0</v>
      </c>
      <c r="I233" s="203">
        <f t="shared" si="36"/>
        <v>0</v>
      </c>
      <c r="J233" s="203">
        <f t="shared" si="37"/>
        <v>0</v>
      </c>
      <c r="K233" s="189" t="s">
        <v>240</v>
      </c>
      <c r="L233" s="189" t="s">
        <v>240</v>
      </c>
      <c r="M233" s="296"/>
      <c r="N233" s="296"/>
    </row>
    <row r="234" spans="1:14" x14ac:dyDescent="0.25">
      <c r="A234" s="21" t="s">
        <v>610</v>
      </c>
      <c r="B234" s="48">
        <v>2.0118199999999901E-3</v>
      </c>
      <c r="C234" s="203">
        <f t="shared" si="33"/>
        <v>1.6982776995911907E-5</v>
      </c>
      <c r="D234" s="48">
        <v>2.0392399999999999E-3</v>
      </c>
      <c r="E234" s="203">
        <f t="shared" si="34"/>
        <v>1.5453920772060922E-5</v>
      </c>
      <c r="F234" s="48"/>
      <c r="G234" s="48"/>
      <c r="H234" s="189">
        <f t="shared" si="35"/>
        <v>0</v>
      </c>
      <c r="I234" s="203">
        <f t="shared" si="36"/>
        <v>0</v>
      </c>
      <c r="J234" s="203">
        <f t="shared" si="37"/>
        <v>0</v>
      </c>
      <c r="K234" s="189" t="s">
        <v>240</v>
      </c>
      <c r="L234" s="189">
        <f>((H234/B234)-1)*100</f>
        <v>-100</v>
      </c>
      <c r="M234" s="296"/>
      <c r="N234" s="296"/>
    </row>
    <row r="235" spans="1:14" x14ac:dyDescent="0.25">
      <c r="A235" s="21" t="s">
        <v>603</v>
      </c>
      <c r="B235" s="48">
        <v>2.5969999999999999E-3</v>
      </c>
      <c r="C235" s="203">
        <f t="shared" si="33"/>
        <v>2.1922573519690351E-5</v>
      </c>
      <c r="D235" s="48">
        <v>2.5500000000000002E-4</v>
      </c>
      <c r="E235" s="203">
        <f t="shared" si="34"/>
        <v>1.9324600325981916E-6</v>
      </c>
      <c r="F235" s="48"/>
      <c r="G235" s="48"/>
      <c r="H235" s="189">
        <f t="shared" si="35"/>
        <v>0</v>
      </c>
      <c r="I235" s="203">
        <f t="shared" si="36"/>
        <v>0</v>
      </c>
      <c r="J235" s="203">
        <f t="shared" si="37"/>
        <v>0</v>
      </c>
      <c r="K235" s="189" t="s">
        <v>240</v>
      </c>
      <c r="L235" s="189" t="s">
        <v>240</v>
      </c>
      <c r="M235" s="296"/>
      <c r="N235" s="296"/>
    </row>
    <row r="236" spans="1:14" x14ac:dyDescent="0.25">
      <c r="A236" s="21" t="s">
        <v>595</v>
      </c>
      <c r="B236" s="48">
        <v>1.1322870000000001E-2</v>
      </c>
      <c r="C236" s="203">
        <f t="shared" si="33"/>
        <v>9.5581998470888074E-5</v>
      </c>
      <c r="D236" s="48">
        <v>0.30256899999999998</v>
      </c>
      <c r="E236" s="203">
        <f t="shared" si="34"/>
        <v>2.2929509788360866E-3</v>
      </c>
      <c r="F236" s="48"/>
      <c r="G236" s="48"/>
      <c r="H236" s="189">
        <f t="shared" si="35"/>
        <v>0</v>
      </c>
      <c r="I236" s="203">
        <f t="shared" si="36"/>
        <v>0</v>
      </c>
      <c r="J236" s="203">
        <f t="shared" si="37"/>
        <v>0</v>
      </c>
      <c r="K236" s="189">
        <f>((H236/D236)-1)*100</f>
        <v>-100</v>
      </c>
      <c r="L236" s="189">
        <f>((H236/B236)-1)*100</f>
        <v>-100</v>
      </c>
      <c r="M236" s="296"/>
      <c r="N236" s="296"/>
    </row>
    <row r="237" spans="1:14" x14ac:dyDescent="0.25">
      <c r="A237" s="21" t="s">
        <v>592</v>
      </c>
      <c r="B237" s="48">
        <v>1.5522610000000001E-2</v>
      </c>
      <c r="C237" s="203">
        <f t="shared" si="33"/>
        <v>1.3103410047842921E-4</v>
      </c>
      <c r="D237" s="48">
        <v>2.5600000000000001E-2</v>
      </c>
      <c r="E237" s="203">
        <f t="shared" si="34"/>
        <v>1.9400383072358312E-4</v>
      </c>
      <c r="F237" s="48"/>
      <c r="G237" s="48"/>
      <c r="H237" s="189">
        <f t="shared" si="35"/>
        <v>0</v>
      </c>
      <c r="I237" s="203">
        <f t="shared" si="36"/>
        <v>0</v>
      </c>
      <c r="J237" s="203">
        <f t="shared" si="37"/>
        <v>0</v>
      </c>
      <c r="K237" s="189" t="s">
        <v>240</v>
      </c>
      <c r="L237" s="189">
        <f>((H237/B237)-1)*100</f>
        <v>-100</v>
      </c>
      <c r="M237" s="296"/>
      <c r="N237" s="296"/>
    </row>
    <row r="238" spans="1:14" x14ac:dyDescent="0.25">
      <c r="A238" s="21" t="s">
        <v>585</v>
      </c>
      <c r="B238" s="48">
        <v>1.5259879999999899E-2</v>
      </c>
      <c r="C238" s="203">
        <f t="shared" si="33"/>
        <v>1.288162653837698E-4</v>
      </c>
      <c r="D238" s="48">
        <v>0</v>
      </c>
      <c r="E238" s="203">
        <f t="shared" si="34"/>
        <v>0</v>
      </c>
      <c r="F238" s="48"/>
      <c r="G238" s="48"/>
      <c r="H238" s="189">
        <f t="shared" si="35"/>
        <v>0</v>
      </c>
      <c r="I238" s="203">
        <f t="shared" si="36"/>
        <v>0</v>
      </c>
      <c r="J238" s="203">
        <f t="shared" si="37"/>
        <v>0</v>
      </c>
      <c r="K238" s="189" t="s">
        <v>240</v>
      </c>
      <c r="L238" s="189" t="s">
        <v>240</v>
      </c>
      <c r="M238" s="296"/>
      <c r="N238" s="296"/>
    </row>
    <row r="239" spans="1:14" x14ac:dyDescent="0.25">
      <c r="A239" s="21" t="s">
        <v>578</v>
      </c>
      <c r="B239" s="48">
        <v>7.4700000000000005E-4</v>
      </c>
      <c r="C239" s="203">
        <f t="shared" si="33"/>
        <v>6.3057999303845574E-6</v>
      </c>
      <c r="D239" s="48">
        <v>1.4211E-2</v>
      </c>
      <c r="E239" s="203">
        <f t="shared" si="34"/>
        <v>1.0769486087550154E-4</v>
      </c>
      <c r="F239" s="48"/>
      <c r="G239" s="48"/>
      <c r="H239" s="189">
        <f t="shared" si="35"/>
        <v>0</v>
      </c>
      <c r="I239" s="203">
        <f t="shared" si="36"/>
        <v>0</v>
      </c>
      <c r="J239" s="203">
        <f t="shared" si="37"/>
        <v>0</v>
      </c>
      <c r="K239" s="189" t="s">
        <v>240</v>
      </c>
      <c r="L239" s="189">
        <f>((H239/B239)-1)*100</f>
        <v>-100</v>
      </c>
      <c r="M239" s="296"/>
      <c r="N239" s="296"/>
    </row>
    <row r="240" spans="1:14" x14ac:dyDescent="0.25">
      <c r="A240" s="21" t="s">
        <v>568</v>
      </c>
      <c r="B240" s="48">
        <v>7.2717839999999895E-2</v>
      </c>
      <c r="C240" s="203">
        <f t="shared" si="33"/>
        <v>6.1384759090992586E-4</v>
      </c>
      <c r="D240" s="48">
        <v>1.34413899999999E-2</v>
      </c>
      <c r="E240" s="203">
        <f t="shared" si="34"/>
        <v>1.018625449316267E-4</v>
      </c>
      <c r="F240" s="48"/>
      <c r="G240" s="48"/>
      <c r="H240" s="189">
        <f t="shared" si="35"/>
        <v>0</v>
      </c>
      <c r="I240" s="203">
        <f t="shared" si="36"/>
        <v>0</v>
      </c>
      <c r="J240" s="203">
        <f t="shared" si="37"/>
        <v>0</v>
      </c>
      <c r="K240" s="189" t="s">
        <v>240</v>
      </c>
      <c r="L240" s="189">
        <f>((H240/B240)-1)*100</f>
        <v>-100</v>
      </c>
      <c r="M240" s="296"/>
      <c r="N240" s="296"/>
    </row>
    <row r="241" spans="1:14" x14ac:dyDescent="0.25">
      <c r="A241" s="21" t="s">
        <v>486</v>
      </c>
      <c r="B241" s="48">
        <v>6.8620000000000009E-4</v>
      </c>
      <c r="C241" s="203">
        <f t="shared" si="33"/>
        <v>5.7925567767468316E-6</v>
      </c>
      <c r="D241" s="48">
        <v>0.43376846999999996</v>
      </c>
      <c r="E241" s="203">
        <f t="shared" si="34"/>
        <v>3.2872165948088917E-3</v>
      </c>
      <c r="F241" s="48"/>
      <c r="G241" s="48"/>
      <c r="H241" s="189">
        <f t="shared" si="35"/>
        <v>0</v>
      </c>
      <c r="I241" s="203">
        <f t="shared" si="36"/>
        <v>0</v>
      </c>
      <c r="J241" s="203">
        <f t="shared" si="37"/>
        <v>0</v>
      </c>
      <c r="K241" s="189" t="s">
        <v>240</v>
      </c>
      <c r="L241" s="189">
        <f>((H241/B241)-1)*100</f>
        <v>-100</v>
      </c>
      <c r="M241" s="296"/>
      <c r="N241" s="296"/>
    </row>
    <row r="242" spans="1:14" x14ac:dyDescent="0.25">
      <c r="A242" s="21" t="s">
        <v>536</v>
      </c>
      <c r="B242" s="48">
        <v>0.1285579899999999</v>
      </c>
      <c r="C242" s="203">
        <f t="shared" si="33"/>
        <v>1.0852221745547225E-3</v>
      </c>
      <c r="D242" s="48">
        <v>3.0000000000000001E-3</v>
      </c>
      <c r="E242" s="203">
        <f t="shared" si="34"/>
        <v>2.2734823912919897E-5</v>
      </c>
      <c r="F242" s="48"/>
      <c r="G242" s="48"/>
      <c r="H242" s="189">
        <f t="shared" si="35"/>
        <v>0</v>
      </c>
      <c r="I242" s="203">
        <f t="shared" si="36"/>
        <v>0</v>
      </c>
      <c r="J242" s="203">
        <f t="shared" si="37"/>
        <v>0</v>
      </c>
      <c r="K242" s="189">
        <f>((H242/D242)-1)*100</f>
        <v>-100</v>
      </c>
      <c r="L242" s="189">
        <f>((H242/B242)-1)*100</f>
        <v>-100</v>
      </c>
      <c r="M242" s="296"/>
      <c r="N242" s="296"/>
    </row>
    <row r="243" spans="1:14" x14ac:dyDescent="0.25">
      <c r="A243" s="21" t="s">
        <v>532</v>
      </c>
      <c r="B243" s="48">
        <v>0.1010805</v>
      </c>
      <c r="C243" s="203">
        <f t="shared" si="33"/>
        <v>8.5327096367233761E-4</v>
      </c>
      <c r="D243" s="48">
        <v>0.15556976</v>
      </c>
      <c r="E243" s="203">
        <f t="shared" si="34"/>
        <v>1.1789503665917364E-3</v>
      </c>
      <c r="F243" s="48"/>
      <c r="G243" s="48"/>
      <c r="H243" s="189">
        <f t="shared" si="35"/>
        <v>0</v>
      </c>
      <c r="I243" s="203">
        <f t="shared" si="36"/>
        <v>0</v>
      </c>
      <c r="J243" s="203">
        <f t="shared" si="37"/>
        <v>0</v>
      </c>
      <c r="K243" s="189" t="s">
        <v>240</v>
      </c>
      <c r="L243" s="189" t="s">
        <v>240</v>
      </c>
    </row>
    <row r="244" spans="1:14" s="3" customFormat="1" ht="13" x14ac:dyDescent="0.3">
      <c r="A244" s="54" t="s">
        <v>976</v>
      </c>
      <c r="B244" s="49">
        <v>1.6000000000000001E-4</v>
      </c>
      <c r="C244" s="415">
        <f>(B244/$B$245)*100</f>
        <v>1.3506398779940147E-6</v>
      </c>
      <c r="D244" s="49">
        <v>0</v>
      </c>
      <c r="E244" s="415">
        <f>(D244/$D$245)*100</f>
        <v>0</v>
      </c>
      <c r="F244" s="49"/>
      <c r="G244" s="49"/>
      <c r="H244" s="416">
        <f>F244+G244</f>
        <v>0</v>
      </c>
      <c r="I244" s="415">
        <f>(F244/$H$245)*100</f>
        <v>0</v>
      </c>
      <c r="J244" s="415">
        <f>(G244/$H$245)*100</f>
        <v>0</v>
      </c>
      <c r="K244" s="416" t="s">
        <v>240</v>
      </c>
      <c r="L244" s="416">
        <f>((H244/B244)-1)*100</f>
        <v>-100</v>
      </c>
      <c r="M244" s="386"/>
    </row>
    <row r="245" spans="1:14" ht="13" x14ac:dyDescent="0.3">
      <c r="A245" s="387" t="s">
        <v>217</v>
      </c>
      <c r="B245" s="388">
        <f>SUM(Table25[[#All],[Column2]])</f>
        <v>11846.23692864998</v>
      </c>
      <c r="C245" s="388">
        <f>SUM(Table25[[#All],[Column3]])</f>
        <v>99.999999999999915</v>
      </c>
      <c r="D245" s="388">
        <f>SUM(Table25[[#All],[Column4]])</f>
        <v>13195.615728059984</v>
      </c>
      <c r="E245" s="388">
        <f>SUM(Table25[[#All],[Column5]])</f>
        <v>100.00000000000001</v>
      </c>
      <c r="F245" s="388">
        <f>SUM(Table25[[#All],[Column6]])</f>
        <v>7735.9364639599971</v>
      </c>
      <c r="G245" s="388">
        <f>SUM(Table25[[#All],[Column7]])</f>
        <v>2232.4193989699984</v>
      </c>
      <c r="H245" s="388">
        <f>SUM(Table25[[#All],[Column8]])</f>
        <v>9968.3558629300023</v>
      </c>
      <c r="I245" s="389">
        <f>SUM(Table25[[#All],[Column9]])</f>
        <v>77.604938771579555</v>
      </c>
      <c r="J245" s="389">
        <f>SUM(Table25[[#All],[Column10]])</f>
        <v>22.395061228420293</v>
      </c>
      <c r="K245" s="385">
        <f>((H245/D245)-1)*100</f>
        <v>-24.457061584987915</v>
      </c>
      <c r="L245" s="385">
        <f>((H245/B245)-1)*100</f>
        <v>-15.852131584320627</v>
      </c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616F49C3-36C3-4FDD-8B6D-DD7119177FFC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L133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46.54296875" style="20" customWidth="1"/>
    <col min="2" max="2" width="15" style="18" bestFit="1" customWidth="1"/>
    <col min="3" max="3" width="11.54296875" style="20" customWidth="1"/>
    <col min="4" max="4" width="13.54296875" style="18" bestFit="1" customWidth="1"/>
    <col min="5" max="5" width="11.54296875" style="20" customWidth="1"/>
    <col min="6" max="6" width="13.54296875" style="18" bestFit="1" customWidth="1"/>
    <col min="7" max="7" width="11.54296875" style="20" customWidth="1"/>
    <col min="8" max="8" width="13.453125" style="20" customWidth="1"/>
    <col min="9" max="9" width="15.54296875" style="20" customWidth="1"/>
    <col min="10" max="10" width="11" style="20" customWidth="1"/>
    <col min="11" max="16384" width="9.1796875" style="20"/>
  </cols>
  <sheetData>
    <row r="1" spans="1:12" ht="13" x14ac:dyDescent="0.3">
      <c r="A1" s="11" t="s">
        <v>928</v>
      </c>
      <c r="K1" s="567" t="s">
        <v>239</v>
      </c>
      <c r="L1" s="567"/>
    </row>
    <row r="2" spans="1:12" ht="13" x14ac:dyDescent="0.3">
      <c r="A2" s="543" t="s">
        <v>729</v>
      </c>
      <c r="B2" s="556">
        <v>45597</v>
      </c>
      <c r="C2" s="556"/>
      <c r="D2" s="556">
        <v>45934</v>
      </c>
      <c r="E2" s="556"/>
      <c r="F2" s="556">
        <v>45962</v>
      </c>
      <c r="G2" s="556"/>
      <c r="H2" s="543" t="s">
        <v>233</v>
      </c>
      <c r="I2" s="543" t="s">
        <v>903</v>
      </c>
      <c r="J2" s="301"/>
    </row>
    <row r="3" spans="1:12" ht="13" x14ac:dyDescent="0.3">
      <c r="A3" s="544"/>
      <c r="B3" s="292" t="s">
        <v>902</v>
      </c>
      <c r="C3" s="270" t="s">
        <v>234</v>
      </c>
      <c r="D3" s="292" t="s">
        <v>902</v>
      </c>
      <c r="E3" s="270" t="s">
        <v>234</v>
      </c>
      <c r="F3" s="270" t="s">
        <v>902</v>
      </c>
      <c r="G3" s="270" t="s">
        <v>234</v>
      </c>
      <c r="H3" s="544"/>
      <c r="I3" s="544"/>
      <c r="J3" s="301"/>
    </row>
    <row r="4" spans="1:12" x14ac:dyDescent="0.25">
      <c r="A4" s="58" t="s">
        <v>526</v>
      </c>
      <c r="B4" s="47">
        <v>4.2963568700000003</v>
      </c>
      <c r="C4" s="303">
        <f t="shared" ref="C4:C35" si="0">(B4/$B$133)*100</f>
        <v>0.12900220800972884</v>
      </c>
      <c r="D4" s="47">
        <v>73.738960179999907</v>
      </c>
      <c r="E4" s="303">
        <f t="shared" ref="E4:E35" si="1">(D4/$D$133)*100</f>
        <v>2.442587525182363</v>
      </c>
      <c r="F4" s="47">
        <v>376.42858799999902</v>
      </c>
      <c r="G4" s="303">
        <f t="shared" ref="G4:G35" si="2">(F4/$F$133)*100</f>
        <v>16.861911707704973</v>
      </c>
      <c r="H4" s="303" t="s">
        <v>240</v>
      </c>
      <c r="I4" s="302" t="s">
        <v>240</v>
      </c>
      <c r="J4" s="301"/>
    </row>
    <row r="5" spans="1:12" x14ac:dyDescent="0.25">
      <c r="A5" s="21" t="s">
        <v>665</v>
      </c>
      <c r="B5" s="48">
        <v>144.818795289999</v>
      </c>
      <c r="C5" s="303">
        <f t="shared" si="0"/>
        <v>4.3483222923515639</v>
      </c>
      <c r="D5" s="48">
        <v>424.36791169000003</v>
      </c>
      <c r="E5" s="303">
        <f t="shared" si="1"/>
        <v>14.057097695050331</v>
      </c>
      <c r="F5" s="48">
        <v>368.13993011999997</v>
      </c>
      <c r="G5" s="303">
        <f t="shared" si="2"/>
        <v>16.490625833562177</v>
      </c>
      <c r="H5" s="303">
        <f t="shared" ref="H5:H29" si="3">((F5/D5)-1)*100</f>
        <v>-13.249819324481461</v>
      </c>
      <c r="I5" s="302">
        <f>((F5/B5)-1)*100</f>
        <v>154.20728668734012</v>
      </c>
      <c r="J5" s="301"/>
    </row>
    <row r="6" spans="1:12" x14ac:dyDescent="0.25">
      <c r="A6" s="21" t="s">
        <v>604</v>
      </c>
      <c r="B6" s="48">
        <v>364.89805104999891</v>
      </c>
      <c r="C6" s="303">
        <f t="shared" si="0"/>
        <v>10.956411608306787</v>
      </c>
      <c r="D6" s="48">
        <v>366.28143184999971</v>
      </c>
      <c r="E6" s="303">
        <f t="shared" si="1"/>
        <v>12.132995284430445</v>
      </c>
      <c r="F6" s="48">
        <v>319.71997283999883</v>
      </c>
      <c r="G6" s="303">
        <f t="shared" si="2"/>
        <v>14.321680459662392</v>
      </c>
      <c r="H6" s="303">
        <f t="shared" si="3"/>
        <v>-12.711935403012408</v>
      </c>
      <c r="I6" s="302">
        <f>((F6/B6)-1)*100</f>
        <v>-12.381013842085364</v>
      </c>
      <c r="J6" s="301"/>
    </row>
    <row r="7" spans="1:12" x14ac:dyDescent="0.25">
      <c r="A7" s="21" t="s">
        <v>964</v>
      </c>
      <c r="B7" s="48">
        <v>298.52995910999874</v>
      </c>
      <c r="C7" s="303">
        <f t="shared" si="0"/>
        <v>8.963646421262931</v>
      </c>
      <c r="D7" s="48">
        <v>369.78273992999954</v>
      </c>
      <c r="E7" s="303">
        <f t="shared" si="1"/>
        <v>12.248975377140612</v>
      </c>
      <c r="F7" s="48">
        <v>285.28311893999961</v>
      </c>
      <c r="G7" s="303">
        <f t="shared" si="2"/>
        <v>12.779100516310896</v>
      </c>
      <c r="H7" s="303">
        <f t="shared" si="3"/>
        <v>-22.851153357237774</v>
      </c>
      <c r="I7" s="302">
        <f>((F7/B7)-1)*100</f>
        <v>-4.4373570443287047</v>
      </c>
      <c r="J7" s="301"/>
    </row>
    <row r="8" spans="1:12" x14ac:dyDescent="0.25">
      <c r="A8" s="21" t="s">
        <v>628</v>
      </c>
      <c r="B8" s="48">
        <v>258.42408077999858</v>
      </c>
      <c r="C8" s="303">
        <f t="shared" si="0"/>
        <v>7.7594292169459251</v>
      </c>
      <c r="D8" s="48">
        <v>207.27184339999988</v>
      </c>
      <c r="E8" s="303">
        <f t="shared" si="1"/>
        <v>6.8658361573656883</v>
      </c>
      <c r="F8" s="48">
        <v>160.82657366999899</v>
      </c>
      <c r="G8" s="303">
        <f t="shared" si="2"/>
        <v>7.2041379744416201</v>
      </c>
      <c r="H8" s="303">
        <f t="shared" si="3"/>
        <v>-22.407901125465123</v>
      </c>
      <c r="I8" s="302" t="s">
        <v>240</v>
      </c>
      <c r="J8" s="301"/>
    </row>
    <row r="9" spans="1:12" x14ac:dyDescent="0.25">
      <c r="A9" s="21" t="s">
        <v>612</v>
      </c>
      <c r="B9" s="48">
        <v>129.86265884999901</v>
      </c>
      <c r="C9" s="303">
        <f t="shared" si="0"/>
        <v>3.8992500475557619</v>
      </c>
      <c r="D9" s="48">
        <v>83.284751699999902</v>
      </c>
      <c r="E9" s="303">
        <f t="shared" si="1"/>
        <v>2.7587898587632433</v>
      </c>
      <c r="F9" s="48">
        <v>115.40274330999978</v>
      </c>
      <c r="G9" s="303">
        <f t="shared" si="2"/>
        <v>5.1694024591994108</v>
      </c>
      <c r="H9" s="303">
        <f t="shared" si="3"/>
        <v>38.564071999268414</v>
      </c>
      <c r="I9" s="302">
        <f t="shared" ref="I9:I32" si="4">((F9/B9)-1)*100</f>
        <v>-11.134775514415962</v>
      </c>
      <c r="J9" s="301"/>
    </row>
    <row r="10" spans="1:12" x14ac:dyDescent="0.25">
      <c r="A10" s="21" t="s">
        <v>478</v>
      </c>
      <c r="B10" s="48">
        <v>99.540029229999803</v>
      </c>
      <c r="C10" s="303">
        <f t="shared" si="0"/>
        <v>2.9887842059132588</v>
      </c>
      <c r="D10" s="48">
        <v>116.96989664</v>
      </c>
      <c r="E10" s="303">
        <f t="shared" si="1"/>
        <v>3.8746031901901818</v>
      </c>
      <c r="F10" s="48">
        <v>105.08126163</v>
      </c>
      <c r="G10" s="303">
        <f t="shared" si="2"/>
        <v>4.7070573602112038</v>
      </c>
      <c r="H10" s="303">
        <f t="shared" si="3"/>
        <v>-10.163841596432144</v>
      </c>
      <c r="I10" s="302">
        <f t="shared" si="4"/>
        <v>5.5668382286652607</v>
      </c>
      <c r="J10" s="301"/>
    </row>
    <row r="11" spans="1:12" x14ac:dyDescent="0.25">
      <c r="A11" s="21" t="s">
        <v>494</v>
      </c>
      <c r="B11" s="48">
        <v>70.186357340000001</v>
      </c>
      <c r="C11" s="303">
        <f t="shared" si="0"/>
        <v>2.1074122432059141</v>
      </c>
      <c r="D11" s="48">
        <v>115.91110601999989</v>
      </c>
      <c r="E11" s="303">
        <f t="shared" si="1"/>
        <v>3.8395309739034404</v>
      </c>
      <c r="F11" s="48">
        <v>102.99797853999989</v>
      </c>
      <c r="G11" s="303">
        <f t="shared" si="2"/>
        <v>4.6137378392035782</v>
      </c>
      <c r="H11" s="303">
        <f t="shared" si="3"/>
        <v>-11.140543752357868</v>
      </c>
      <c r="I11" s="302">
        <f t="shared" si="4"/>
        <v>46.749286390590569</v>
      </c>
      <c r="J11" s="301"/>
    </row>
    <row r="12" spans="1:12" x14ac:dyDescent="0.25">
      <c r="A12" s="21" t="s">
        <v>591</v>
      </c>
      <c r="B12" s="48">
        <v>8.377147410000001</v>
      </c>
      <c r="C12" s="303">
        <f t="shared" si="0"/>
        <v>0.25153183159875203</v>
      </c>
      <c r="D12" s="48">
        <v>70.446077340000002</v>
      </c>
      <c r="E12" s="303">
        <f t="shared" si="1"/>
        <v>2.3335114746490064</v>
      </c>
      <c r="F12" s="48">
        <v>74.698875669999893</v>
      </c>
      <c r="G12" s="303">
        <f t="shared" si="2"/>
        <v>3.3460950798252669</v>
      </c>
      <c r="H12" s="303">
        <f t="shared" si="3"/>
        <v>6.0369554850786766</v>
      </c>
      <c r="I12" s="302" t="s">
        <v>240</v>
      </c>
      <c r="J12" s="301"/>
    </row>
    <row r="13" spans="1:12" x14ac:dyDescent="0.25">
      <c r="A13" s="21" t="s">
        <v>722</v>
      </c>
      <c r="B13" s="48">
        <v>16.600774939999969</v>
      </c>
      <c r="C13" s="303">
        <f t="shared" si="0"/>
        <v>0.49845408254751655</v>
      </c>
      <c r="D13" s="48">
        <v>44.273367469999961</v>
      </c>
      <c r="E13" s="303">
        <f t="shared" si="1"/>
        <v>1.4665459726589365</v>
      </c>
      <c r="F13" s="48">
        <v>43.227136099999974</v>
      </c>
      <c r="G13" s="303">
        <f t="shared" si="2"/>
        <v>1.9363358032072411</v>
      </c>
      <c r="H13" s="303">
        <f t="shared" si="3"/>
        <v>-2.3631167670020159</v>
      </c>
      <c r="I13" s="302">
        <f t="shared" si="4"/>
        <v>160.39227841010688</v>
      </c>
      <c r="J13" s="301"/>
    </row>
    <row r="14" spans="1:12" x14ac:dyDescent="0.25">
      <c r="A14" s="21" t="s">
        <v>565</v>
      </c>
      <c r="B14" s="48">
        <v>60.115376089999977</v>
      </c>
      <c r="C14" s="303">
        <f t="shared" si="0"/>
        <v>1.8050214369052766</v>
      </c>
      <c r="D14" s="48">
        <v>1.36405E-2</v>
      </c>
      <c r="E14" s="303">
        <f t="shared" si="1"/>
        <v>4.51838689560025E-4</v>
      </c>
      <c r="F14" s="48">
        <v>37.909337569999998</v>
      </c>
      <c r="G14" s="303">
        <f t="shared" si="2"/>
        <v>1.6981279408112449</v>
      </c>
      <c r="H14" s="303">
        <f t="shared" si="3"/>
        <v>277817.50720281509</v>
      </c>
      <c r="I14" s="302">
        <f t="shared" si="4"/>
        <v>-36.939032847028784</v>
      </c>
      <c r="J14" s="301"/>
    </row>
    <row r="15" spans="1:12" x14ac:dyDescent="0.25">
      <c r="A15" s="21" t="s">
        <v>968</v>
      </c>
      <c r="B15" s="48">
        <v>29.522544879999991</v>
      </c>
      <c r="C15" s="303">
        <f t="shared" si="0"/>
        <v>0.88644253511145454</v>
      </c>
      <c r="D15" s="48">
        <v>43.454591329999893</v>
      </c>
      <c r="E15" s="303">
        <f t="shared" si="1"/>
        <v>1.4394241854707364</v>
      </c>
      <c r="F15" s="48">
        <v>33.951228679999986</v>
      </c>
      <c r="G15" s="303">
        <f t="shared" si="2"/>
        <v>1.5208266285297705</v>
      </c>
      <c r="H15" s="303">
        <f t="shared" si="3"/>
        <v>-21.869639914065974</v>
      </c>
      <c r="I15" s="302">
        <f t="shared" si="4"/>
        <v>15.001023177375883</v>
      </c>
      <c r="J15" s="301"/>
    </row>
    <row r="16" spans="1:12" x14ac:dyDescent="0.25">
      <c r="A16" s="21" t="s">
        <v>693</v>
      </c>
      <c r="B16" s="48">
        <v>23.080228939999998</v>
      </c>
      <c r="C16" s="303">
        <f t="shared" si="0"/>
        <v>0.69300586164529743</v>
      </c>
      <c r="D16" s="48">
        <v>33.963284709999989</v>
      </c>
      <c r="E16" s="303">
        <f t="shared" si="1"/>
        <v>1.1250266527268376</v>
      </c>
      <c r="F16" s="48">
        <v>26.533235089999991</v>
      </c>
      <c r="G16" s="303">
        <f t="shared" si="2"/>
        <v>1.1885416827251185</v>
      </c>
      <c r="H16" s="303">
        <f t="shared" si="3"/>
        <v>-21.876710934888845</v>
      </c>
      <c r="I16" s="302">
        <f t="shared" si="4"/>
        <v>14.960883442605887</v>
      </c>
      <c r="J16" s="301"/>
    </row>
    <row r="17" spans="1:10" x14ac:dyDescent="0.25">
      <c r="A17" s="21" t="s">
        <v>570</v>
      </c>
      <c r="B17" s="48">
        <v>4.9945275499999999</v>
      </c>
      <c r="C17" s="303">
        <f t="shared" si="0"/>
        <v>0.14996544779936341</v>
      </c>
      <c r="D17" s="48"/>
      <c r="E17" s="303">
        <f t="shared" si="1"/>
        <v>0</v>
      </c>
      <c r="F17" s="48">
        <v>24.463122959999897</v>
      </c>
      <c r="G17" s="303">
        <f t="shared" si="2"/>
        <v>1.0958121476317033</v>
      </c>
      <c r="H17" s="303" t="s">
        <v>240</v>
      </c>
      <c r="I17" s="302">
        <f t="shared" si="4"/>
        <v>389.79853880273214</v>
      </c>
      <c r="J17" s="301"/>
    </row>
    <row r="18" spans="1:10" x14ac:dyDescent="0.25">
      <c r="A18" s="21" t="s">
        <v>504</v>
      </c>
      <c r="B18" s="48">
        <v>35.578174449999992</v>
      </c>
      <c r="C18" s="303">
        <f t="shared" si="0"/>
        <v>1.0682685819358666</v>
      </c>
      <c r="D18" s="48">
        <v>21.828831799999982</v>
      </c>
      <c r="E18" s="303">
        <f t="shared" si="1"/>
        <v>0.72307545582186827</v>
      </c>
      <c r="F18" s="48">
        <v>22.714854939999899</v>
      </c>
      <c r="G18" s="303">
        <f t="shared" si="2"/>
        <v>1.0174994425545738</v>
      </c>
      <c r="H18" s="303">
        <f t="shared" si="3"/>
        <v>4.0589581161183164</v>
      </c>
      <c r="I18" s="302">
        <f t="shared" si="4"/>
        <v>-36.155085832404467</v>
      </c>
      <c r="J18" s="301"/>
    </row>
    <row r="19" spans="1:10" x14ac:dyDescent="0.25">
      <c r="A19" s="21" t="s">
        <v>521</v>
      </c>
      <c r="B19" s="48">
        <v>112.88698681000001</v>
      </c>
      <c r="C19" s="303">
        <f t="shared" si="0"/>
        <v>3.3895393224295023</v>
      </c>
      <c r="D19" s="48">
        <v>8.5951182099999919</v>
      </c>
      <c r="E19" s="303">
        <f t="shared" si="1"/>
        <v>0.28471148041639999</v>
      </c>
      <c r="F19" s="48">
        <v>19.847509970000001</v>
      </c>
      <c r="G19" s="303">
        <f t="shared" si="2"/>
        <v>0.8890583005665208</v>
      </c>
      <c r="H19" s="303">
        <f t="shared" si="3"/>
        <v>130.9160791635002</v>
      </c>
      <c r="I19" s="302">
        <f t="shared" si="4"/>
        <v>-82.418248080794882</v>
      </c>
      <c r="J19" s="301"/>
    </row>
    <row r="20" spans="1:10" x14ac:dyDescent="0.25">
      <c r="A20" s="21" t="s">
        <v>705</v>
      </c>
      <c r="B20" s="48">
        <v>17.840011269999991</v>
      </c>
      <c r="C20" s="303">
        <f t="shared" si="0"/>
        <v>0.53566333393260368</v>
      </c>
      <c r="D20" s="48">
        <v>10.652387070000001</v>
      </c>
      <c r="E20" s="303">
        <f t="shared" si="1"/>
        <v>0.35285807810527148</v>
      </c>
      <c r="F20" s="48">
        <v>17.401900359999999</v>
      </c>
      <c r="G20" s="303">
        <f t="shared" si="2"/>
        <v>0.77950856223651133</v>
      </c>
      <c r="H20" s="303">
        <f t="shared" si="3"/>
        <v>63.36150991929734</v>
      </c>
      <c r="I20" s="302">
        <f t="shared" si="4"/>
        <v>-2.4557770921183497</v>
      </c>
      <c r="J20" s="301"/>
    </row>
    <row r="21" spans="1:10" x14ac:dyDescent="0.25">
      <c r="A21" s="21" t="s">
        <v>576</v>
      </c>
      <c r="B21" s="48"/>
      <c r="C21" s="303">
        <f t="shared" si="0"/>
        <v>0</v>
      </c>
      <c r="D21" s="48">
        <v>0.21067126</v>
      </c>
      <c r="E21" s="303">
        <f t="shared" si="1"/>
        <v>6.9784411162610843E-3</v>
      </c>
      <c r="F21" s="48">
        <v>12.35675794999999</v>
      </c>
      <c r="G21" s="303">
        <f t="shared" si="2"/>
        <v>0.55351418087932747</v>
      </c>
      <c r="H21" s="303">
        <f t="shared" si="3"/>
        <v>5765.4217713417529</v>
      </c>
      <c r="I21" s="302" t="s">
        <v>240</v>
      </c>
      <c r="J21" s="301"/>
    </row>
    <row r="22" spans="1:10" x14ac:dyDescent="0.25">
      <c r="A22" s="21" t="s">
        <v>540</v>
      </c>
      <c r="B22" s="48">
        <v>43.990242779999896</v>
      </c>
      <c r="C22" s="303">
        <f t="shared" si="0"/>
        <v>1.3208489474255474</v>
      </c>
      <c r="D22" s="48">
        <v>20.823685329999901</v>
      </c>
      <c r="E22" s="303">
        <f t="shared" si="1"/>
        <v>0.68978019070543395</v>
      </c>
      <c r="F22" s="48">
        <v>12.209270919999991</v>
      </c>
      <c r="G22" s="303">
        <f t="shared" si="2"/>
        <v>0.54690758043193632</v>
      </c>
      <c r="H22" s="303">
        <f t="shared" si="3"/>
        <v>-41.368347021597785</v>
      </c>
      <c r="I22" s="302">
        <f t="shared" si="4"/>
        <v>-72.245502301362791</v>
      </c>
      <c r="J22" s="301"/>
    </row>
    <row r="23" spans="1:10" x14ac:dyDescent="0.25">
      <c r="A23" s="21" t="s">
        <v>629</v>
      </c>
      <c r="B23" s="48">
        <v>3.7686660000000004E-2</v>
      </c>
      <c r="C23" s="303">
        <f t="shared" si="0"/>
        <v>1.1315778692545918E-3</v>
      </c>
      <c r="D23" s="48">
        <v>0.28066331999999999</v>
      </c>
      <c r="E23" s="303">
        <f t="shared" si="1"/>
        <v>9.2969133621469864E-3</v>
      </c>
      <c r="F23" s="48">
        <v>9.1999611199999887</v>
      </c>
      <c r="G23" s="303">
        <f t="shared" si="2"/>
        <v>0.4121072019103893</v>
      </c>
      <c r="H23" s="303">
        <f t="shared" si="3"/>
        <v>3177.9349720512064</v>
      </c>
      <c r="I23" s="302">
        <f t="shared" si="4"/>
        <v>24311.717886382045</v>
      </c>
      <c r="J23" s="301"/>
    </row>
    <row r="24" spans="1:10" x14ac:dyDescent="0.25">
      <c r="A24" s="21" t="s">
        <v>637</v>
      </c>
      <c r="B24" s="48"/>
      <c r="C24" s="303">
        <f t="shared" si="0"/>
        <v>0</v>
      </c>
      <c r="D24" s="48"/>
      <c r="E24" s="303">
        <f t="shared" si="1"/>
        <v>0</v>
      </c>
      <c r="F24" s="48">
        <v>7.2935789499999899</v>
      </c>
      <c r="G24" s="303">
        <f t="shared" si="2"/>
        <v>0.32671186038632027</v>
      </c>
      <c r="H24" s="303" t="s">
        <v>240</v>
      </c>
      <c r="I24" s="302" t="s">
        <v>240</v>
      </c>
      <c r="J24" s="301"/>
    </row>
    <row r="25" spans="1:10" x14ac:dyDescent="0.25">
      <c r="A25" s="21" t="s">
        <v>653</v>
      </c>
      <c r="B25" s="48"/>
      <c r="C25" s="303">
        <f t="shared" si="0"/>
        <v>0</v>
      </c>
      <c r="D25" s="48">
        <v>4.0034293099999898</v>
      </c>
      <c r="E25" s="303">
        <f t="shared" si="1"/>
        <v>0.13261275269796494</v>
      </c>
      <c r="F25" s="48">
        <v>6.6806993399999994</v>
      </c>
      <c r="G25" s="303">
        <f t="shared" si="2"/>
        <v>0.29925825510575504</v>
      </c>
      <c r="H25" s="303">
        <f t="shared" si="3"/>
        <v>66.874417472854446</v>
      </c>
      <c r="I25" s="302" t="s">
        <v>240</v>
      </c>
      <c r="J25" s="301"/>
    </row>
    <row r="26" spans="1:10" x14ac:dyDescent="0.25">
      <c r="A26" s="21" t="s">
        <v>537</v>
      </c>
      <c r="B26" s="48">
        <v>4.4086899999999894E-3</v>
      </c>
      <c r="C26" s="303">
        <f t="shared" si="0"/>
        <v>1.3237511725379788E-4</v>
      </c>
      <c r="D26" s="48">
        <v>6.2552430000000006E-2</v>
      </c>
      <c r="E26" s="303">
        <f t="shared" si="1"/>
        <v>2.0720360690587004E-3</v>
      </c>
      <c r="F26" s="48">
        <v>4.5452599899999901</v>
      </c>
      <c r="G26" s="303">
        <f t="shared" si="2"/>
        <v>0.2036024230974296</v>
      </c>
      <c r="H26" s="303">
        <f t="shared" si="3"/>
        <v>7166.3204131318153</v>
      </c>
      <c r="I26" s="302">
        <f t="shared" si="4"/>
        <v>102997.74536200098</v>
      </c>
      <c r="J26" s="301"/>
    </row>
    <row r="27" spans="1:10" x14ac:dyDescent="0.25">
      <c r="A27" s="21" t="s">
        <v>542</v>
      </c>
      <c r="B27" s="48">
        <v>3.0270299999999991E-3</v>
      </c>
      <c r="C27" s="303">
        <f t="shared" si="0"/>
        <v>9.0889459494943996E-5</v>
      </c>
      <c r="D27" s="48">
        <v>0.71720749000000017</v>
      </c>
      <c r="E27" s="303">
        <f t="shared" si="1"/>
        <v>2.3757347049172307E-2</v>
      </c>
      <c r="F27" s="48">
        <v>4.2883941399999896</v>
      </c>
      <c r="G27" s="303">
        <f t="shared" si="2"/>
        <v>0.19209625852465648</v>
      </c>
      <c r="H27" s="303">
        <f t="shared" si="3"/>
        <v>497.92935793238701</v>
      </c>
      <c r="I27" s="302">
        <f t="shared" si="4"/>
        <v>141570.02441336858</v>
      </c>
      <c r="J27" s="301"/>
    </row>
    <row r="28" spans="1:10" x14ac:dyDescent="0.25">
      <c r="A28" s="21" t="s">
        <v>490</v>
      </c>
      <c r="B28" s="48">
        <v>84.986004269999782</v>
      </c>
      <c r="C28" s="303">
        <f t="shared" si="0"/>
        <v>2.5517857413819107</v>
      </c>
      <c r="D28" s="48">
        <v>3.8631898299999783</v>
      </c>
      <c r="E28" s="303">
        <f t="shared" si="1"/>
        <v>0.12796734945997623</v>
      </c>
      <c r="F28" s="48">
        <v>4.2462042499999963</v>
      </c>
      <c r="G28" s="303">
        <f t="shared" si="2"/>
        <v>0.19020638559041039</v>
      </c>
      <c r="H28" s="303" t="s">
        <v>240</v>
      </c>
      <c r="I28" s="302" t="s">
        <v>240</v>
      </c>
      <c r="J28" s="301"/>
    </row>
    <row r="29" spans="1:10" x14ac:dyDescent="0.25">
      <c r="A29" s="21" t="s">
        <v>670</v>
      </c>
      <c r="B29" s="48">
        <v>3.8456772799999901</v>
      </c>
      <c r="C29" s="303">
        <f t="shared" si="0"/>
        <v>0.11547012397339493</v>
      </c>
      <c r="D29" s="48">
        <v>12.281633209999988</v>
      </c>
      <c r="E29" s="303">
        <f t="shared" si="1"/>
        <v>0.40682651334359288</v>
      </c>
      <c r="F29" s="48">
        <v>3.9675763000000002</v>
      </c>
      <c r="G29" s="303">
        <f t="shared" si="2"/>
        <v>0.17772539970896936</v>
      </c>
      <c r="H29" s="303">
        <f t="shared" si="3"/>
        <v>-67.69504322300142</v>
      </c>
      <c r="I29" s="302">
        <f t="shared" si="4"/>
        <v>3.1697672769882113</v>
      </c>
      <c r="J29" s="301"/>
    </row>
    <row r="30" spans="1:10" x14ac:dyDescent="0.25">
      <c r="A30" s="21" t="s">
        <v>965</v>
      </c>
      <c r="B30" s="48">
        <v>3.5865498699999976</v>
      </c>
      <c r="C30" s="303">
        <f t="shared" si="0"/>
        <v>0.10768957662658168</v>
      </c>
      <c r="D30" s="48">
        <v>7.9576262699999871</v>
      </c>
      <c r="E30" s="303">
        <f t="shared" si="1"/>
        <v>0.26359469417141779</v>
      </c>
      <c r="F30" s="48">
        <v>3.7080356799999978</v>
      </c>
      <c r="G30" s="303">
        <f t="shared" si="2"/>
        <v>0.16609942028414668</v>
      </c>
      <c r="H30" s="303" t="s">
        <v>240</v>
      </c>
      <c r="I30" s="302">
        <f t="shared" si="4"/>
        <v>3.3872611396311259</v>
      </c>
      <c r="J30" s="301"/>
    </row>
    <row r="31" spans="1:10" x14ac:dyDescent="0.25">
      <c r="A31" s="21" t="s">
        <v>484</v>
      </c>
      <c r="B31" s="48">
        <v>13.766651819999998</v>
      </c>
      <c r="C31" s="303">
        <f t="shared" si="0"/>
        <v>0.41335683590016858</v>
      </c>
      <c r="D31" s="48">
        <v>0.51236380999999953</v>
      </c>
      <c r="E31" s="303">
        <f t="shared" si="1"/>
        <v>1.6971943293015757E-2</v>
      </c>
      <c r="F31" s="48">
        <v>3.3607067899999992</v>
      </c>
      <c r="G31" s="303">
        <f t="shared" si="2"/>
        <v>0.15054101355464725</v>
      </c>
      <c r="H31" s="303" t="s">
        <v>240</v>
      </c>
      <c r="I31" s="302">
        <f t="shared" si="4"/>
        <v>-75.588059944120829</v>
      </c>
      <c r="J31" s="301"/>
    </row>
    <row r="32" spans="1:10" x14ac:dyDescent="0.25">
      <c r="A32" s="21" t="s">
        <v>935</v>
      </c>
      <c r="B32" s="48">
        <v>1356.8499348299999</v>
      </c>
      <c r="C32" s="303">
        <f t="shared" si="0"/>
        <v>40.740711916449037</v>
      </c>
      <c r="D32" s="48">
        <v>2.3992220000000002E-2</v>
      </c>
      <c r="E32" s="303">
        <f t="shared" si="1"/>
        <v>7.9473723429755684E-4</v>
      </c>
      <c r="F32" s="48">
        <v>3.2069353299999999</v>
      </c>
      <c r="G32" s="303">
        <f t="shared" si="2"/>
        <v>0.14365290551943902</v>
      </c>
      <c r="H32" s="303">
        <f t="shared" ref="H32:H62" si="5">((F32/D32)-1)*100</f>
        <v>13266.563536012922</v>
      </c>
      <c r="I32" s="302">
        <f t="shared" si="4"/>
        <v>-99.763648488482133</v>
      </c>
      <c r="J32" s="301"/>
    </row>
    <row r="33" spans="1:10" x14ac:dyDescent="0.25">
      <c r="A33" s="21" t="s">
        <v>527</v>
      </c>
      <c r="B33" s="48">
        <v>0.76483207999999869</v>
      </c>
      <c r="C33" s="303">
        <f t="shared" si="0"/>
        <v>2.2964811830604146E-2</v>
      </c>
      <c r="D33" s="48">
        <v>2.5355385299999966</v>
      </c>
      <c r="E33" s="303">
        <f t="shared" si="1"/>
        <v>8.3989179775239231E-2</v>
      </c>
      <c r="F33" s="48">
        <v>2.6728818599999946</v>
      </c>
      <c r="G33" s="303">
        <f t="shared" si="2"/>
        <v>0.11973027385594386</v>
      </c>
      <c r="H33" s="303">
        <f t="shared" si="5"/>
        <v>5.4167321212033936</v>
      </c>
      <c r="I33" s="302" t="s">
        <v>240</v>
      </c>
      <c r="J33" s="301"/>
    </row>
    <row r="34" spans="1:10" x14ac:dyDescent="0.25">
      <c r="A34" s="21" t="s">
        <v>623</v>
      </c>
      <c r="B34" s="48"/>
      <c r="C34" s="303">
        <f t="shared" si="0"/>
        <v>0</v>
      </c>
      <c r="D34" s="48"/>
      <c r="E34" s="303">
        <f t="shared" si="1"/>
        <v>0</v>
      </c>
      <c r="F34" s="48">
        <v>2.3666606900000002</v>
      </c>
      <c r="G34" s="303">
        <f t="shared" si="2"/>
        <v>0.10601326485032066</v>
      </c>
      <c r="H34" s="303" t="s">
        <v>240</v>
      </c>
      <c r="I34" s="302" t="s">
        <v>240</v>
      </c>
      <c r="J34" s="301"/>
    </row>
    <row r="35" spans="1:10" x14ac:dyDescent="0.25">
      <c r="A35" s="21" t="s">
        <v>529</v>
      </c>
      <c r="B35" s="48"/>
      <c r="C35" s="303">
        <f t="shared" si="0"/>
        <v>0</v>
      </c>
      <c r="D35" s="48">
        <v>2.9554739999999999E-2</v>
      </c>
      <c r="E35" s="303">
        <f t="shared" si="1"/>
        <v>9.7899453772862092E-4</v>
      </c>
      <c r="F35" s="48">
        <v>1.6399977399999988</v>
      </c>
      <c r="G35" s="303">
        <f t="shared" si="2"/>
        <v>7.3462797391774456E-2</v>
      </c>
      <c r="H35" s="303" t="s">
        <v>240</v>
      </c>
      <c r="I35" s="302" t="s">
        <v>240</v>
      </c>
      <c r="J35" s="301"/>
    </row>
    <row r="36" spans="1:10" x14ac:dyDescent="0.25">
      <c r="A36" s="21" t="s">
        <v>712</v>
      </c>
      <c r="B36" s="48">
        <v>7.6712408999999901</v>
      </c>
      <c r="C36" s="303">
        <f t="shared" ref="C36:C67" si="6">(B36/$B$133)*100</f>
        <v>0.23033631614371416</v>
      </c>
      <c r="D36" s="48">
        <v>19.281112</v>
      </c>
      <c r="E36" s="303">
        <f t="shared" ref="E36:E67" si="7">(D36/$D$133)*100</f>
        <v>0.63868277404347884</v>
      </c>
      <c r="F36" s="48">
        <v>1.4355103200000001</v>
      </c>
      <c r="G36" s="303">
        <f t="shared" ref="G36:G67" si="8">(F36/$F$133)*100</f>
        <v>6.430289580274752E-2</v>
      </c>
      <c r="H36" s="303">
        <f t="shared" si="5"/>
        <v>-92.554836463789016</v>
      </c>
      <c r="I36" s="302">
        <f t="shared" ref="I36:I65" si="9">((F36/B36)-1)*100</f>
        <v>-81.287117185956163</v>
      </c>
      <c r="J36" s="301"/>
    </row>
    <row r="37" spans="1:10" x14ac:dyDescent="0.25">
      <c r="A37" s="21" t="s">
        <v>966</v>
      </c>
      <c r="B37" s="48">
        <v>3.2160419999999898E-2</v>
      </c>
      <c r="C37" s="303">
        <f t="shared" si="6"/>
        <v>9.6564724860023808E-4</v>
      </c>
      <c r="D37" s="48">
        <v>0.61093005999999894</v>
      </c>
      <c r="E37" s="303">
        <f t="shared" si="7"/>
        <v>2.0236929564402109E-2</v>
      </c>
      <c r="F37" s="48">
        <v>1.3830417199999989</v>
      </c>
      <c r="G37" s="303">
        <f t="shared" si="8"/>
        <v>6.1952593703410386E-2</v>
      </c>
      <c r="H37" s="303">
        <f t="shared" si="5"/>
        <v>126.38298727680896</v>
      </c>
      <c r="I37" s="302">
        <f t="shared" si="9"/>
        <v>4200.4466981463647</v>
      </c>
      <c r="J37" s="301"/>
    </row>
    <row r="38" spans="1:10" x14ac:dyDescent="0.25">
      <c r="A38" s="21" t="s">
        <v>715</v>
      </c>
      <c r="B38" s="48">
        <v>1.26817596</v>
      </c>
      <c r="C38" s="303">
        <f t="shared" si="6"/>
        <v>3.8078191345603363E-2</v>
      </c>
      <c r="D38" s="48">
        <v>2.7976982400000003</v>
      </c>
      <c r="E38" s="303">
        <f t="shared" si="7"/>
        <v>9.2673164953336648E-2</v>
      </c>
      <c r="F38" s="48">
        <v>1.30703768999999</v>
      </c>
      <c r="G38" s="303">
        <f t="shared" si="8"/>
        <v>5.8548034952708078E-2</v>
      </c>
      <c r="H38" s="303">
        <f t="shared" si="5"/>
        <v>-53.281677369179391</v>
      </c>
      <c r="I38" s="302">
        <f t="shared" si="9"/>
        <v>3.0643799619092249</v>
      </c>
      <c r="J38" s="301"/>
    </row>
    <row r="39" spans="1:10" x14ac:dyDescent="0.25">
      <c r="A39" s="21" t="s">
        <v>560</v>
      </c>
      <c r="B39" s="48">
        <v>7.5043319999999872E-2</v>
      </c>
      <c r="C39" s="303">
        <f t="shared" si="6"/>
        <v>2.2532471741297942E-3</v>
      </c>
      <c r="D39" s="48">
        <v>3.9352999999999895E-2</v>
      </c>
      <c r="E39" s="303">
        <f t="shared" si="7"/>
        <v>1.3035598365349964E-3</v>
      </c>
      <c r="F39" s="48">
        <v>1.2283271399999989</v>
      </c>
      <c r="G39" s="303">
        <f t="shared" si="8"/>
        <v>5.5022239126157439E-2</v>
      </c>
      <c r="H39" s="303">
        <f t="shared" si="5"/>
        <v>3021.3049576906519</v>
      </c>
      <c r="I39" s="302">
        <f t="shared" si="9"/>
        <v>1536.824090405383</v>
      </c>
      <c r="J39" s="301"/>
    </row>
    <row r="40" spans="1:10" x14ac:dyDescent="0.25">
      <c r="A40" s="21" t="s">
        <v>554</v>
      </c>
      <c r="B40" s="48">
        <v>0.64483516999999912</v>
      </c>
      <c r="C40" s="303">
        <f t="shared" si="6"/>
        <v>1.9361790291021318E-2</v>
      </c>
      <c r="D40" s="48">
        <v>4.447951E-2</v>
      </c>
      <c r="E40" s="303">
        <f t="shared" si="7"/>
        <v>1.4733744005477826E-3</v>
      </c>
      <c r="F40" s="48">
        <v>0.89316052999999873</v>
      </c>
      <c r="G40" s="303">
        <f t="shared" si="8"/>
        <v>4.0008635044655523E-2</v>
      </c>
      <c r="H40" s="303">
        <f t="shared" si="5"/>
        <v>1908.0269094690987</v>
      </c>
      <c r="I40" s="302">
        <f t="shared" si="9"/>
        <v>38.509897033066601</v>
      </c>
      <c r="J40" s="301"/>
    </row>
    <row r="41" spans="1:10" x14ac:dyDescent="0.25">
      <c r="A41" s="21" t="s">
        <v>498</v>
      </c>
      <c r="B41" s="48">
        <v>0.50303556999999899</v>
      </c>
      <c r="C41" s="303">
        <f t="shared" si="6"/>
        <v>1.5104122213533064E-2</v>
      </c>
      <c r="D41" s="48">
        <v>4.9191120199999938</v>
      </c>
      <c r="E41" s="303">
        <f t="shared" si="7"/>
        <v>0.16294454960710858</v>
      </c>
      <c r="F41" s="48">
        <v>0.73053919999999861</v>
      </c>
      <c r="G41" s="303">
        <f t="shared" si="8"/>
        <v>3.2724101946841055E-2</v>
      </c>
      <c r="H41" s="303">
        <f t="shared" si="5"/>
        <v>-85.148961905527017</v>
      </c>
      <c r="I41" s="302">
        <f t="shared" si="9"/>
        <v>45.226151701359818</v>
      </c>
      <c r="J41" s="301"/>
    </row>
    <row r="42" spans="1:10" x14ac:dyDescent="0.25">
      <c r="A42" s="21" t="s">
        <v>630</v>
      </c>
      <c r="B42" s="48"/>
      <c r="C42" s="303">
        <f t="shared" si="6"/>
        <v>0</v>
      </c>
      <c r="D42" s="48"/>
      <c r="E42" s="303">
        <f t="shared" si="7"/>
        <v>0</v>
      </c>
      <c r="F42" s="48">
        <v>0.64920579999999894</v>
      </c>
      <c r="G42" s="303">
        <f t="shared" si="8"/>
        <v>2.9080816996104403E-2</v>
      </c>
      <c r="H42" s="303" t="s">
        <v>240</v>
      </c>
      <c r="I42" s="302" t="s">
        <v>240</v>
      </c>
      <c r="J42" s="301"/>
    </row>
    <row r="43" spans="1:10" x14ac:dyDescent="0.25">
      <c r="A43" s="21" t="s">
        <v>557</v>
      </c>
      <c r="B43" s="48"/>
      <c r="C43" s="303">
        <f t="shared" si="6"/>
        <v>0</v>
      </c>
      <c r="D43" s="48">
        <v>9.4338329999999887E-2</v>
      </c>
      <c r="E43" s="303">
        <f t="shared" si="7"/>
        <v>3.1249373118640185E-3</v>
      </c>
      <c r="F43" s="48">
        <v>0.63722224999999999</v>
      </c>
      <c r="G43" s="303">
        <f t="shared" si="8"/>
        <v>2.8544020460223737E-2</v>
      </c>
      <c r="H43" s="303">
        <f t="shared" si="5"/>
        <v>575.46484021924152</v>
      </c>
      <c r="I43" s="302" t="s">
        <v>240</v>
      </c>
      <c r="J43" s="301"/>
    </row>
    <row r="44" spans="1:10" x14ac:dyDescent="0.25">
      <c r="A44" s="21" t="s">
        <v>544</v>
      </c>
      <c r="B44" s="48">
        <v>0.17157720999999976</v>
      </c>
      <c r="C44" s="303">
        <f t="shared" si="6"/>
        <v>5.1517691858192624E-3</v>
      </c>
      <c r="D44" s="48">
        <v>0.29816547999999982</v>
      </c>
      <c r="E44" s="303">
        <f t="shared" si="7"/>
        <v>9.8766687258704418E-3</v>
      </c>
      <c r="F44" s="48">
        <v>0.53826208999999869</v>
      </c>
      <c r="G44" s="303">
        <f t="shared" si="8"/>
        <v>2.4111154483263498E-2</v>
      </c>
      <c r="H44" s="303">
        <f t="shared" si="5"/>
        <v>80.524616732962855</v>
      </c>
      <c r="I44" s="302">
        <f t="shared" si="9"/>
        <v>213.71421064604061</v>
      </c>
      <c r="J44" s="301"/>
    </row>
    <row r="45" spans="1:10" x14ac:dyDescent="0.25">
      <c r="A45" s="21" t="s">
        <v>579</v>
      </c>
      <c r="B45" s="48">
        <v>0.15254704999999996</v>
      </c>
      <c r="C45" s="303">
        <f t="shared" si="6"/>
        <v>4.5803705024556069E-3</v>
      </c>
      <c r="D45" s="48">
        <v>0.29367732999999968</v>
      </c>
      <c r="E45" s="303">
        <f t="shared" si="7"/>
        <v>9.727999702407307E-3</v>
      </c>
      <c r="F45" s="48">
        <v>0.42466180999999958</v>
      </c>
      <c r="G45" s="303">
        <f t="shared" si="8"/>
        <v>1.9022492377370116E-2</v>
      </c>
      <c r="H45" s="303">
        <f t="shared" si="5"/>
        <v>44.601495117106936</v>
      </c>
      <c r="I45" s="302">
        <f t="shared" si="9"/>
        <v>178.38087331088977</v>
      </c>
      <c r="J45" s="301"/>
    </row>
    <row r="46" spans="1:10" x14ac:dyDescent="0.25">
      <c r="A46" s="21" t="s">
        <v>528</v>
      </c>
      <c r="B46" s="48">
        <v>3.3260740000000004E-2</v>
      </c>
      <c r="C46" s="303">
        <f t="shared" si="6"/>
        <v>9.9868540483637929E-4</v>
      </c>
      <c r="D46" s="48"/>
      <c r="E46" s="303">
        <f t="shared" si="7"/>
        <v>0</v>
      </c>
      <c r="F46" s="48">
        <v>0.4205822199999999</v>
      </c>
      <c r="G46" s="303">
        <f t="shared" si="8"/>
        <v>1.8839749385534354E-2</v>
      </c>
      <c r="H46" s="303" t="s">
        <v>240</v>
      </c>
      <c r="I46" s="302">
        <f t="shared" si="9"/>
        <v>1164.5004891653039</v>
      </c>
      <c r="J46" s="301"/>
    </row>
    <row r="47" spans="1:10" x14ac:dyDescent="0.25">
      <c r="A47" s="21" t="s">
        <v>642</v>
      </c>
      <c r="B47" s="48"/>
      <c r="C47" s="303">
        <f t="shared" si="6"/>
        <v>0</v>
      </c>
      <c r="D47" s="48"/>
      <c r="E47" s="303">
        <f t="shared" si="7"/>
        <v>0</v>
      </c>
      <c r="F47" s="48">
        <v>0.40710116000000002</v>
      </c>
      <c r="G47" s="303">
        <f t="shared" si="8"/>
        <v>1.823587271226141E-2</v>
      </c>
      <c r="H47" s="303" t="s">
        <v>240</v>
      </c>
      <c r="I47" s="302" t="s">
        <v>240</v>
      </c>
      <c r="J47" s="301"/>
    </row>
    <row r="48" spans="1:10" x14ac:dyDescent="0.25">
      <c r="A48" s="21" t="s">
        <v>700</v>
      </c>
      <c r="B48" s="48">
        <v>3.8869999999999998E-3</v>
      </c>
      <c r="C48" s="303">
        <f t="shared" si="6"/>
        <v>1.1671087800809619E-4</v>
      </c>
      <c r="D48" s="48">
        <v>1.1735329999999992E-2</v>
      </c>
      <c r="E48" s="303">
        <f t="shared" si="7"/>
        <v>3.8873033457383858E-4</v>
      </c>
      <c r="F48" s="48">
        <v>0.38130796999999883</v>
      </c>
      <c r="G48" s="303">
        <f t="shared" si="8"/>
        <v>1.7080480942601027E-2</v>
      </c>
      <c r="H48" s="303">
        <f t="shared" si="5"/>
        <v>3149.2309121260255</v>
      </c>
      <c r="I48" s="302">
        <f t="shared" si="9"/>
        <v>9709.8268587599396</v>
      </c>
      <c r="J48" s="301"/>
    </row>
    <row r="49" spans="1:10" x14ac:dyDescent="0.25">
      <c r="A49" s="21" t="s">
        <v>697</v>
      </c>
      <c r="B49" s="48">
        <v>2.5889000000000002E-2</v>
      </c>
      <c r="C49" s="303">
        <f t="shared" si="6"/>
        <v>7.7734188853913124E-4</v>
      </c>
      <c r="D49" s="48">
        <v>2.6053659999999979E-2</v>
      </c>
      <c r="E49" s="303">
        <f t="shared" si="7"/>
        <v>8.6302200012040853E-4</v>
      </c>
      <c r="F49" s="48">
        <v>0.36897398999999964</v>
      </c>
      <c r="G49" s="303">
        <f t="shared" si="8"/>
        <v>1.6527987087472822E-2</v>
      </c>
      <c r="H49" s="303">
        <f t="shared" si="5"/>
        <v>1316.2078955509512</v>
      </c>
      <c r="I49" s="302">
        <f t="shared" si="9"/>
        <v>1325.2153037969779</v>
      </c>
      <c r="J49" s="301"/>
    </row>
    <row r="50" spans="1:10" x14ac:dyDescent="0.25">
      <c r="A50" s="21" t="s">
        <v>500</v>
      </c>
      <c r="B50" s="48">
        <v>2.04186267</v>
      </c>
      <c r="C50" s="303">
        <f t="shared" si="6"/>
        <v>6.1308871877451911E-2</v>
      </c>
      <c r="D50" s="48">
        <v>0.38969270999999894</v>
      </c>
      <c r="E50" s="303">
        <f t="shared" si="7"/>
        <v>1.2908488942303757E-2</v>
      </c>
      <c r="F50" s="48">
        <v>0.36882837999999896</v>
      </c>
      <c r="G50" s="303">
        <f t="shared" si="8"/>
        <v>1.6521464567552602E-2</v>
      </c>
      <c r="H50" s="303">
        <f t="shared" si="5"/>
        <v>-5.3540467821427962</v>
      </c>
      <c r="I50" s="302">
        <f t="shared" si="9"/>
        <v>-81.936670598909629</v>
      </c>
      <c r="J50" s="301"/>
    </row>
    <row r="51" spans="1:10" x14ac:dyDescent="0.25">
      <c r="A51" s="21" t="s">
        <v>690</v>
      </c>
      <c r="B51" s="48">
        <v>5.7879336799999894</v>
      </c>
      <c r="C51" s="303">
        <f t="shared" si="6"/>
        <v>0.17378822270270902</v>
      </c>
      <c r="D51" s="48">
        <v>0.30104819999999977</v>
      </c>
      <c r="E51" s="303">
        <f t="shared" si="7"/>
        <v>9.9721582187166317E-3</v>
      </c>
      <c r="F51" s="48">
        <v>0.32426153000000002</v>
      </c>
      <c r="G51" s="303">
        <f t="shared" si="8"/>
        <v>1.4525117016525167E-2</v>
      </c>
      <c r="H51" s="303">
        <f t="shared" si="5"/>
        <v>7.7108350091448008</v>
      </c>
      <c r="I51" s="302">
        <f t="shared" si="9"/>
        <v>-94.397628792457056</v>
      </c>
      <c r="J51" s="301"/>
    </row>
    <row r="52" spans="1:10" x14ac:dyDescent="0.25">
      <c r="A52" s="21" t="s">
        <v>655</v>
      </c>
      <c r="B52" s="48">
        <v>2.4360799999999898E-3</v>
      </c>
      <c r="C52" s="303">
        <f t="shared" si="6"/>
        <v>7.3145622767677331E-5</v>
      </c>
      <c r="D52" s="48">
        <v>3.1592950000000002E-2</v>
      </c>
      <c r="E52" s="303">
        <f t="shared" si="7"/>
        <v>1.0465098146941385E-3</v>
      </c>
      <c r="F52" s="48">
        <v>0.32329188000000003</v>
      </c>
      <c r="G52" s="303">
        <f t="shared" si="8"/>
        <v>1.4481682077711815E-2</v>
      </c>
      <c r="H52" s="303">
        <f t="shared" si="5"/>
        <v>923.3038700089736</v>
      </c>
      <c r="I52" s="302">
        <f t="shared" si="9"/>
        <v>13170.987816492127</v>
      </c>
      <c r="J52" s="301"/>
    </row>
    <row r="53" spans="1:10" x14ac:dyDescent="0.25">
      <c r="A53" s="21" t="s">
        <v>611</v>
      </c>
      <c r="B53" s="48">
        <v>0.32263191999999902</v>
      </c>
      <c r="C53" s="303">
        <f t="shared" si="6"/>
        <v>9.6873307580750551E-3</v>
      </c>
      <c r="D53" s="48"/>
      <c r="E53" s="303">
        <f t="shared" si="7"/>
        <v>0</v>
      </c>
      <c r="F53" s="48">
        <v>0.30308757000000003</v>
      </c>
      <c r="G53" s="303">
        <f t="shared" si="8"/>
        <v>1.3576641115905001E-2</v>
      </c>
      <c r="H53" s="303" t="s">
        <v>240</v>
      </c>
      <c r="I53" s="302">
        <f t="shared" si="9"/>
        <v>-6.0577856028625643</v>
      </c>
      <c r="J53" s="301"/>
    </row>
    <row r="54" spans="1:10" x14ac:dyDescent="0.25">
      <c r="A54" s="21" t="s">
        <v>553</v>
      </c>
      <c r="B54" s="48"/>
      <c r="C54" s="303">
        <f t="shared" si="6"/>
        <v>0</v>
      </c>
      <c r="D54" s="48"/>
      <c r="E54" s="303">
        <f t="shared" si="7"/>
        <v>0</v>
      </c>
      <c r="F54" s="48">
        <v>0.27616918000000001</v>
      </c>
      <c r="G54" s="303">
        <f t="shared" si="8"/>
        <v>1.2370846630674327E-2</v>
      </c>
      <c r="H54" s="303" t="s">
        <v>240</v>
      </c>
      <c r="I54" s="302" t="s">
        <v>240</v>
      </c>
      <c r="J54" s="301"/>
    </row>
    <row r="55" spans="1:10" x14ac:dyDescent="0.25">
      <c r="A55" s="21" t="s">
        <v>617</v>
      </c>
      <c r="B55" s="48"/>
      <c r="C55" s="303">
        <f t="shared" si="6"/>
        <v>0</v>
      </c>
      <c r="D55" s="48">
        <v>5.10424999999999E-2</v>
      </c>
      <c r="E55" s="303">
        <f t="shared" si="7"/>
        <v>1.6907720620114755E-3</v>
      </c>
      <c r="F55" s="48">
        <v>0.26427559999999878</v>
      </c>
      <c r="G55" s="303">
        <f t="shared" si="8"/>
        <v>1.1838080251494467E-2</v>
      </c>
      <c r="H55" s="303">
        <f t="shared" si="5"/>
        <v>417.75598765734293</v>
      </c>
      <c r="I55" s="302" t="s">
        <v>240</v>
      </c>
      <c r="J55" s="301"/>
    </row>
    <row r="56" spans="1:10" x14ac:dyDescent="0.25">
      <c r="A56" s="21" t="s">
        <v>558</v>
      </c>
      <c r="B56" s="48">
        <v>1.1299999999999999E-2</v>
      </c>
      <c r="C56" s="303">
        <f t="shared" si="6"/>
        <v>3.3929326511229399E-4</v>
      </c>
      <c r="D56" s="48">
        <v>3.84578E-3</v>
      </c>
      <c r="E56" s="303">
        <f t="shared" si="7"/>
        <v>1.2739065250805712E-4</v>
      </c>
      <c r="F56" s="48">
        <v>0.22359158000000001</v>
      </c>
      <c r="G56" s="303">
        <f t="shared" si="8"/>
        <v>1.0015661936245561E-2</v>
      </c>
      <c r="H56" s="303">
        <f t="shared" si="5"/>
        <v>5713.94619557021</v>
      </c>
      <c r="I56" s="302">
        <f t="shared" si="9"/>
        <v>1878.6865486725667</v>
      </c>
      <c r="J56" s="301"/>
    </row>
    <row r="57" spans="1:10" x14ac:dyDescent="0.25">
      <c r="A57" s="21" t="s">
        <v>556</v>
      </c>
      <c r="B57" s="48">
        <v>2.4786537799999899</v>
      </c>
      <c r="C57" s="303">
        <f t="shared" si="6"/>
        <v>7.4423941070719146E-2</v>
      </c>
      <c r="D57" s="48">
        <v>7.4842804099999878</v>
      </c>
      <c r="E57" s="303">
        <f t="shared" si="7"/>
        <v>0.2479152122542547</v>
      </c>
      <c r="F57" s="48">
        <v>0.21721292999999969</v>
      </c>
      <c r="G57" s="303">
        <f t="shared" si="8"/>
        <v>9.7299338153134761E-3</v>
      </c>
      <c r="H57" s="303">
        <f t="shared" si="5"/>
        <v>-97.097744631404055</v>
      </c>
      <c r="I57" s="302">
        <f t="shared" si="9"/>
        <v>-91.236657101824008</v>
      </c>
      <c r="J57" s="301"/>
    </row>
    <row r="58" spans="1:10" x14ac:dyDescent="0.25">
      <c r="A58" s="21" t="s">
        <v>514</v>
      </c>
      <c r="B58" s="48">
        <v>4.8365624799999898</v>
      </c>
      <c r="C58" s="303">
        <f t="shared" si="6"/>
        <v>0.14522239608485052</v>
      </c>
      <c r="D58" s="48">
        <v>0.29117906999999976</v>
      </c>
      <c r="E58" s="303">
        <f t="shared" si="7"/>
        <v>9.6452453660867774E-3</v>
      </c>
      <c r="F58" s="48">
        <v>0.20660467999999899</v>
      </c>
      <c r="G58" s="303">
        <f t="shared" si="8"/>
        <v>9.2547430870437257E-3</v>
      </c>
      <c r="H58" s="303">
        <f t="shared" si="5"/>
        <v>-29.04549080399249</v>
      </c>
      <c r="I58" s="302">
        <f t="shared" si="9"/>
        <v>-95.728274350753367</v>
      </c>
      <c r="J58" s="301"/>
    </row>
    <row r="59" spans="1:10" x14ac:dyDescent="0.25">
      <c r="A59" s="21" t="s">
        <v>548</v>
      </c>
      <c r="B59" s="48">
        <v>0.61796694999999902</v>
      </c>
      <c r="C59" s="303">
        <f t="shared" si="6"/>
        <v>1.8555046389113757E-2</v>
      </c>
      <c r="D59" s="48">
        <v>1.0589148100000001</v>
      </c>
      <c r="E59" s="303">
        <f t="shared" si="7"/>
        <v>3.507633005433107E-2</v>
      </c>
      <c r="F59" s="48">
        <v>0.2006988499999999</v>
      </c>
      <c r="G59" s="303">
        <f t="shared" si="8"/>
        <v>8.9901946781415307E-3</v>
      </c>
      <c r="H59" s="303">
        <f t="shared" si="5"/>
        <v>-81.046742560905358</v>
      </c>
      <c r="I59" s="302">
        <f t="shared" si="9"/>
        <v>-67.522721077559211</v>
      </c>
      <c r="J59" s="301"/>
    </row>
    <row r="60" spans="1:10" x14ac:dyDescent="0.25">
      <c r="A60" s="21" t="s">
        <v>972</v>
      </c>
      <c r="B60" s="48">
        <v>0.11893516999999981</v>
      </c>
      <c r="C60" s="303">
        <f t="shared" si="6"/>
        <v>3.5711417846005043E-3</v>
      </c>
      <c r="D60" s="48">
        <v>0.22507652</v>
      </c>
      <c r="E60" s="303">
        <f t="shared" si="7"/>
        <v>7.4556123197485995E-3</v>
      </c>
      <c r="F60" s="48">
        <v>0.19040619999999889</v>
      </c>
      <c r="G60" s="303">
        <f t="shared" si="8"/>
        <v>8.5291410784124715E-3</v>
      </c>
      <c r="H60" s="303" t="s">
        <v>240</v>
      </c>
      <c r="I60" s="302">
        <f t="shared" si="9"/>
        <v>60.092426823789125</v>
      </c>
      <c r="J60" s="301"/>
    </row>
    <row r="61" spans="1:10" x14ac:dyDescent="0.25">
      <c r="A61" s="21" t="s">
        <v>534</v>
      </c>
      <c r="B61" s="48">
        <v>1.7999999999999999E-2</v>
      </c>
      <c r="C61" s="303">
        <f t="shared" si="6"/>
        <v>5.4046714796648606E-4</v>
      </c>
      <c r="D61" s="48">
        <v>7.9858486699999904</v>
      </c>
      <c r="E61" s="303">
        <f t="shared" si="7"/>
        <v>0.26452955522726179</v>
      </c>
      <c r="F61" s="48">
        <v>0.17805161999999991</v>
      </c>
      <c r="G61" s="303">
        <f t="shared" si="8"/>
        <v>7.975724457606399E-3</v>
      </c>
      <c r="H61" s="303">
        <f t="shared" si="5"/>
        <v>-97.770410793421661</v>
      </c>
      <c r="I61" s="302">
        <f t="shared" si="9"/>
        <v>889.17566666666619</v>
      </c>
      <c r="J61" s="301"/>
    </row>
    <row r="62" spans="1:10" x14ac:dyDescent="0.25">
      <c r="A62" s="21" t="s">
        <v>488</v>
      </c>
      <c r="B62" s="48">
        <v>0.44462030999999902</v>
      </c>
      <c r="C62" s="303">
        <f t="shared" si="6"/>
        <v>1.33501483818708E-2</v>
      </c>
      <c r="D62" s="48">
        <v>0.12177786999999979</v>
      </c>
      <c r="E62" s="303">
        <f t="shared" si="7"/>
        <v>4.033866295092628E-3</v>
      </c>
      <c r="F62" s="48">
        <v>0.17264794</v>
      </c>
      <c r="G62" s="303">
        <f t="shared" si="8"/>
        <v>7.7336695819637188E-3</v>
      </c>
      <c r="H62" s="303">
        <f t="shared" si="5"/>
        <v>41.772836066191907</v>
      </c>
      <c r="I62" s="302">
        <f t="shared" si="9"/>
        <v>-61.169578600671585</v>
      </c>
      <c r="J62" s="301"/>
    </row>
    <row r="63" spans="1:10" x14ac:dyDescent="0.25">
      <c r="A63" s="21" t="s">
        <v>511</v>
      </c>
      <c r="B63" s="48">
        <v>3.1897330000000002E-2</v>
      </c>
      <c r="C63" s="303">
        <f t="shared" si="6"/>
        <v>9.5774772071365759E-4</v>
      </c>
      <c r="D63" s="48">
        <v>5.0513800000000003E-3</v>
      </c>
      <c r="E63" s="303">
        <f t="shared" si="7"/>
        <v>1.6732589858654151E-4</v>
      </c>
      <c r="F63" s="48">
        <v>0.10878224999999989</v>
      </c>
      <c r="G63" s="303">
        <f t="shared" si="8"/>
        <v>4.8728411001172202E-3</v>
      </c>
      <c r="H63" s="303" t="s">
        <v>240</v>
      </c>
      <c r="I63" s="302">
        <f t="shared" si="9"/>
        <v>241.03873270897557</v>
      </c>
      <c r="J63" s="301"/>
    </row>
    <row r="64" spans="1:10" x14ac:dyDescent="0.25">
      <c r="A64" s="21" t="s">
        <v>546</v>
      </c>
      <c r="B64" s="48"/>
      <c r="C64" s="303">
        <f t="shared" si="6"/>
        <v>0</v>
      </c>
      <c r="D64" s="48">
        <v>5.6393099999999903E-3</v>
      </c>
      <c r="E64" s="303">
        <f t="shared" si="7"/>
        <v>1.8680095600767863E-4</v>
      </c>
      <c r="F64" s="48">
        <v>9.7286729999999905E-2</v>
      </c>
      <c r="G64" s="303">
        <f t="shared" si="8"/>
        <v>4.3579055998566587E-3</v>
      </c>
      <c r="H64" s="303">
        <f t="shared" ref="H64:H92" si="10">((F64/D64)-1)*100</f>
        <v>1625.1530772381741</v>
      </c>
      <c r="I64" s="302" t="s">
        <v>240</v>
      </c>
      <c r="J64" s="301"/>
    </row>
    <row r="65" spans="1:10" x14ac:dyDescent="0.25">
      <c r="A65" s="21" t="s">
        <v>493</v>
      </c>
      <c r="B65" s="48">
        <v>2.3152809999999892E-2</v>
      </c>
      <c r="C65" s="303">
        <f t="shared" si="6"/>
        <v>6.9518517711721561E-4</v>
      </c>
      <c r="D65" s="48">
        <v>0.14361436999999971</v>
      </c>
      <c r="E65" s="303">
        <f t="shared" si="7"/>
        <v>4.7571957584244305E-3</v>
      </c>
      <c r="F65" s="48">
        <v>9.6163419999999902E-2</v>
      </c>
      <c r="G65" s="303">
        <f t="shared" si="8"/>
        <v>4.307587545797539E-3</v>
      </c>
      <c r="H65" s="303">
        <f t="shared" si="10"/>
        <v>-33.040530693411739</v>
      </c>
      <c r="I65" s="302">
        <f t="shared" si="9"/>
        <v>315.34232777792568</v>
      </c>
      <c r="J65" s="301"/>
    </row>
    <row r="66" spans="1:10" x14ac:dyDescent="0.25">
      <c r="A66" s="21" t="s">
        <v>588</v>
      </c>
      <c r="B66" s="48"/>
      <c r="C66" s="303">
        <f t="shared" si="6"/>
        <v>0</v>
      </c>
      <c r="D66" s="48">
        <v>0.20204666000000002</v>
      </c>
      <c r="E66" s="303">
        <f t="shared" si="7"/>
        <v>6.6927530577603409E-3</v>
      </c>
      <c r="F66" s="48">
        <v>9.5054679999999905E-2</v>
      </c>
      <c r="G66" s="303">
        <f t="shared" si="8"/>
        <v>4.2579221468804921E-3</v>
      </c>
      <c r="H66" s="303">
        <f t="shared" si="10"/>
        <v>-52.95409486105838</v>
      </c>
      <c r="I66" s="302" t="s">
        <v>240</v>
      </c>
      <c r="J66" s="301"/>
    </row>
    <row r="67" spans="1:10" x14ac:dyDescent="0.25">
      <c r="A67" s="21" t="s">
        <v>573</v>
      </c>
      <c r="B67" s="48">
        <v>6.0447430000000003E-2</v>
      </c>
      <c r="C67" s="303">
        <f t="shared" si="6"/>
        <v>1.814991671889101E-3</v>
      </c>
      <c r="D67" s="48">
        <v>0.18506700000000001</v>
      </c>
      <c r="E67" s="303">
        <f t="shared" si="7"/>
        <v>6.1303053964887767E-3</v>
      </c>
      <c r="F67" s="48">
        <v>9.1506570000000009E-2</v>
      </c>
      <c r="G67" s="303">
        <f t="shared" si="8"/>
        <v>4.0989865095339903E-3</v>
      </c>
      <c r="H67" s="303">
        <f t="shared" si="10"/>
        <v>-50.55489633484089</v>
      </c>
      <c r="I67" s="302">
        <f t="shared" ref="I67:I98" si="11">((F67/B67)-1)*100</f>
        <v>51.382068683482494</v>
      </c>
      <c r="J67" s="301"/>
    </row>
    <row r="68" spans="1:10" x14ac:dyDescent="0.25">
      <c r="A68" s="21" t="s">
        <v>515</v>
      </c>
      <c r="B68" s="48">
        <v>12.693435699999901</v>
      </c>
      <c r="C68" s="303">
        <f t="shared" ref="C68:C99" si="12">(B68/$B$133)*100</f>
        <v>0.38113249948194017</v>
      </c>
      <c r="D68" s="48">
        <v>3.0123908399999997</v>
      </c>
      <c r="E68" s="303">
        <f t="shared" ref="E68:E99" si="13">(D68/$D$133)*100</f>
        <v>9.97848121101296E-2</v>
      </c>
      <c r="F68" s="48">
        <v>8.7729500000000002E-2</v>
      </c>
      <c r="G68" s="303">
        <f t="shared" ref="G68:G99" si="14">(F68/$F$133)*100</f>
        <v>3.9297947348279167E-3</v>
      </c>
      <c r="H68" s="303">
        <f t="shared" si="10"/>
        <v>-97.087711898632648</v>
      </c>
      <c r="I68" s="302">
        <f t="shared" si="11"/>
        <v>-99.308859302765441</v>
      </c>
      <c r="J68" s="301"/>
    </row>
    <row r="69" spans="1:10" x14ac:dyDescent="0.25">
      <c r="A69" s="21" t="s">
        <v>524</v>
      </c>
      <c r="B69" s="48"/>
      <c r="C69" s="303">
        <f t="shared" si="12"/>
        <v>0</v>
      </c>
      <c r="D69" s="48">
        <v>0.40124769999999987</v>
      </c>
      <c r="E69" s="303">
        <f t="shared" si="13"/>
        <v>1.3291245552360545E-2</v>
      </c>
      <c r="F69" s="48">
        <v>8.16838599999999E-2</v>
      </c>
      <c r="G69" s="303">
        <f t="shared" si="14"/>
        <v>3.6589836138177039E-3</v>
      </c>
      <c r="H69" s="303">
        <f t="shared" si="10"/>
        <v>-79.642535022630682</v>
      </c>
      <c r="I69" s="302" t="s">
        <v>240</v>
      </c>
      <c r="J69" s="301"/>
    </row>
    <row r="70" spans="1:10" x14ac:dyDescent="0.25">
      <c r="A70" s="21" t="s">
        <v>607</v>
      </c>
      <c r="B70" s="48">
        <v>1.4775000000000001E-4</v>
      </c>
      <c r="C70" s="303">
        <f t="shared" si="12"/>
        <v>4.4363345062249074E-6</v>
      </c>
      <c r="D70" s="48">
        <v>4.1452670000000004E-2</v>
      </c>
      <c r="E70" s="303">
        <f t="shared" si="13"/>
        <v>1.3731109630559118E-3</v>
      </c>
      <c r="F70" s="48">
        <v>8.0703909999999865E-2</v>
      </c>
      <c r="G70" s="303">
        <f t="shared" si="14"/>
        <v>3.615087292165412E-3</v>
      </c>
      <c r="H70" s="303">
        <f t="shared" si="10"/>
        <v>94.689292631813245</v>
      </c>
      <c r="I70" s="302">
        <f t="shared" si="11"/>
        <v>54521.93570219956</v>
      </c>
      <c r="J70" s="301"/>
    </row>
    <row r="71" spans="1:10" x14ac:dyDescent="0.25">
      <c r="A71" s="21" t="s">
        <v>552</v>
      </c>
      <c r="B71" s="48"/>
      <c r="C71" s="303">
        <f t="shared" si="12"/>
        <v>0</v>
      </c>
      <c r="D71" s="48"/>
      <c r="E71" s="303">
        <f t="shared" si="13"/>
        <v>0</v>
      </c>
      <c r="F71" s="48">
        <v>7.9544340000000005E-2</v>
      </c>
      <c r="G71" s="303">
        <f t="shared" si="14"/>
        <v>3.5631449913354307E-3</v>
      </c>
      <c r="H71" s="303" t="s">
        <v>240</v>
      </c>
      <c r="I71" s="302" t="s">
        <v>240</v>
      </c>
      <c r="J71" s="301"/>
    </row>
    <row r="72" spans="1:10" x14ac:dyDescent="0.25">
      <c r="A72" s="21" t="s">
        <v>641</v>
      </c>
      <c r="B72" s="48"/>
      <c r="C72" s="303">
        <f t="shared" si="12"/>
        <v>0</v>
      </c>
      <c r="D72" s="48">
        <v>1.4324190000000001E-2</v>
      </c>
      <c r="E72" s="303">
        <f t="shared" si="13"/>
        <v>4.7448577681234673E-4</v>
      </c>
      <c r="F72" s="48">
        <v>7.8357069999999807E-2</v>
      </c>
      <c r="G72" s="303">
        <f t="shared" si="14"/>
        <v>3.5099618842298402E-3</v>
      </c>
      <c r="H72" s="303">
        <f t="shared" si="10"/>
        <v>447.02618437761441</v>
      </c>
      <c r="I72" s="302" t="s">
        <v>240</v>
      </c>
      <c r="J72" s="301"/>
    </row>
    <row r="73" spans="1:10" x14ac:dyDescent="0.25">
      <c r="A73" s="21" t="s">
        <v>522</v>
      </c>
      <c r="B73" s="48"/>
      <c r="C73" s="303">
        <f t="shared" si="12"/>
        <v>0</v>
      </c>
      <c r="D73" s="48"/>
      <c r="E73" s="303">
        <f t="shared" si="13"/>
        <v>0</v>
      </c>
      <c r="F73" s="48">
        <v>7.81680599999999E-2</v>
      </c>
      <c r="G73" s="303">
        <f t="shared" si="14"/>
        <v>3.5014952851630558E-3</v>
      </c>
      <c r="H73" s="303" t="s">
        <v>240</v>
      </c>
      <c r="I73" s="302" t="s">
        <v>240</v>
      </c>
      <c r="J73" s="301"/>
    </row>
    <row r="74" spans="1:10" x14ac:dyDescent="0.25">
      <c r="A74" s="21" t="s">
        <v>582</v>
      </c>
      <c r="B74" s="48">
        <v>2.7916999999999898E-3</v>
      </c>
      <c r="C74" s="303">
        <f t="shared" si="12"/>
        <v>8.3823452054335209E-5</v>
      </c>
      <c r="D74" s="48">
        <v>1.00732216</v>
      </c>
      <c r="E74" s="303">
        <f t="shared" si="13"/>
        <v>3.3367334389441283E-2</v>
      </c>
      <c r="F74" s="48">
        <v>7.730604999999996E-2</v>
      </c>
      <c r="G74" s="303">
        <f t="shared" si="14"/>
        <v>3.4628820209888752E-3</v>
      </c>
      <c r="H74" s="303">
        <f t="shared" si="10"/>
        <v>-92.325588270588639</v>
      </c>
      <c r="I74" s="302">
        <f t="shared" si="11"/>
        <v>2669.1388759537285</v>
      </c>
      <c r="J74" s="301"/>
    </row>
    <row r="75" spans="1:10" x14ac:dyDescent="0.25">
      <c r="A75" s="21" t="s">
        <v>583</v>
      </c>
      <c r="B75" s="48">
        <v>1.3773099999999899E-3</v>
      </c>
      <c r="C75" s="303">
        <f t="shared" si="12"/>
        <v>4.135504486476197E-5</v>
      </c>
      <c r="D75" s="48"/>
      <c r="E75" s="303">
        <f t="shared" si="13"/>
        <v>0</v>
      </c>
      <c r="F75" s="48">
        <v>7.7236959999999896E-2</v>
      </c>
      <c r="G75" s="303">
        <f t="shared" si="14"/>
        <v>3.4597871724119478E-3</v>
      </c>
      <c r="H75" s="303" t="s">
        <v>240</v>
      </c>
      <c r="I75" s="302">
        <f t="shared" si="11"/>
        <v>5507.8123298313712</v>
      </c>
      <c r="J75" s="301"/>
    </row>
    <row r="76" spans="1:10" x14ac:dyDescent="0.25">
      <c r="A76" s="21" t="s">
        <v>495</v>
      </c>
      <c r="B76" s="48">
        <v>0.27353357999999994</v>
      </c>
      <c r="C76" s="303">
        <f t="shared" si="12"/>
        <v>8.2131063253145908E-3</v>
      </c>
      <c r="D76" s="48">
        <v>0.79573194999999874</v>
      </c>
      <c r="E76" s="303">
        <f t="shared" si="13"/>
        <v>2.6358453247977916E-2</v>
      </c>
      <c r="F76" s="48">
        <v>7.6587749999999954E-2</v>
      </c>
      <c r="G76" s="303">
        <f t="shared" si="14"/>
        <v>3.4307061672791545E-3</v>
      </c>
      <c r="H76" s="303" t="s">
        <v>240</v>
      </c>
      <c r="I76" s="302">
        <f t="shared" si="11"/>
        <v>-72.000604094020204</v>
      </c>
      <c r="J76" s="301"/>
    </row>
    <row r="77" spans="1:10" x14ac:dyDescent="0.25">
      <c r="A77" s="21" t="s">
        <v>645</v>
      </c>
      <c r="B77" s="48"/>
      <c r="C77" s="303">
        <f t="shared" si="12"/>
        <v>0</v>
      </c>
      <c r="D77" s="48"/>
      <c r="E77" s="303">
        <f t="shared" si="13"/>
        <v>0</v>
      </c>
      <c r="F77" s="48">
        <v>6.3628879999999804E-2</v>
      </c>
      <c r="G77" s="303">
        <f t="shared" si="14"/>
        <v>2.8502207080514145E-3</v>
      </c>
      <c r="H77" s="303" t="s">
        <v>240</v>
      </c>
      <c r="I77" s="302" t="s">
        <v>240</v>
      </c>
      <c r="J77" s="301"/>
    </row>
    <row r="78" spans="1:10" x14ac:dyDescent="0.25">
      <c r="A78" s="21" t="s">
        <v>974</v>
      </c>
      <c r="B78" s="48"/>
      <c r="C78" s="303">
        <f t="shared" si="12"/>
        <v>0</v>
      </c>
      <c r="D78" s="48"/>
      <c r="E78" s="303">
        <f t="shared" si="13"/>
        <v>0</v>
      </c>
      <c r="F78" s="48">
        <v>5.69905299999999E-2</v>
      </c>
      <c r="G78" s="303">
        <f t="shared" si="14"/>
        <v>2.5528594683550234E-3</v>
      </c>
      <c r="H78" s="303" t="s">
        <v>240</v>
      </c>
      <c r="I78" s="302" t="s">
        <v>240</v>
      </c>
      <c r="J78" s="301"/>
    </row>
    <row r="79" spans="1:10" x14ac:dyDescent="0.25">
      <c r="A79" s="21" t="s">
        <v>503</v>
      </c>
      <c r="B79" s="48"/>
      <c r="C79" s="303">
        <f t="shared" si="12"/>
        <v>0</v>
      </c>
      <c r="D79" s="48"/>
      <c r="E79" s="303">
        <f t="shared" si="13"/>
        <v>0</v>
      </c>
      <c r="F79" s="48">
        <v>5.0096139999999893E-2</v>
      </c>
      <c r="G79" s="303">
        <f t="shared" si="14"/>
        <v>2.2440290575827032E-3</v>
      </c>
      <c r="H79" s="303" t="s">
        <v>240</v>
      </c>
      <c r="I79" s="302" t="s">
        <v>240</v>
      </c>
      <c r="J79" s="301"/>
    </row>
    <row r="80" spans="1:10" x14ac:dyDescent="0.25">
      <c r="A80" s="21" t="s">
        <v>525</v>
      </c>
      <c r="B80" s="48">
        <v>0.34124214000000003</v>
      </c>
      <c r="C80" s="303">
        <f t="shared" si="12"/>
        <v>1.0246120342876688E-2</v>
      </c>
      <c r="D80" s="48">
        <v>0.17258693</v>
      </c>
      <c r="E80" s="303">
        <f t="shared" si="13"/>
        <v>5.7169057062708677E-3</v>
      </c>
      <c r="F80" s="48">
        <v>4.8304839999999988E-2</v>
      </c>
      <c r="G80" s="303">
        <f t="shared" si="14"/>
        <v>2.1637887586126092E-3</v>
      </c>
      <c r="H80" s="303">
        <f t="shared" si="10"/>
        <v>-72.011298885726745</v>
      </c>
      <c r="I80" s="302">
        <f t="shared" si="11"/>
        <v>-85.844409485885905</v>
      </c>
      <c r="J80" s="301"/>
    </row>
    <row r="81" spans="1:10" x14ac:dyDescent="0.25">
      <c r="A81" s="21" t="s">
        <v>483</v>
      </c>
      <c r="B81" s="48">
        <v>1.139771E-2</v>
      </c>
      <c r="C81" s="303">
        <f t="shared" si="12"/>
        <v>3.4222710094717213E-4</v>
      </c>
      <c r="D81" s="48">
        <v>2.5814799999999988E-3</v>
      </c>
      <c r="E81" s="303">
        <f t="shared" si="13"/>
        <v>8.551098129287145E-5</v>
      </c>
      <c r="F81" s="48">
        <v>4.7715279999999992E-2</v>
      </c>
      <c r="G81" s="303">
        <f t="shared" si="14"/>
        <v>2.1373797424451271E-3</v>
      </c>
      <c r="H81" s="303">
        <f t="shared" si="10"/>
        <v>1748.369152579141</v>
      </c>
      <c r="I81" s="302">
        <f t="shared" si="11"/>
        <v>318.63918278320813</v>
      </c>
      <c r="J81" s="301"/>
    </row>
    <row r="82" spans="1:10" x14ac:dyDescent="0.25">
      <c r="A82" s="21" t="s">
        <v>574</v>
      </c>
      <c r="B82" s="48">
        <v>3.2299089999999898E-2</v>
      </c>
      <c r="C82" s="303">
        <f t="shared" si="12"/>
        <v>9.6981094745626642E-4</v>
      </c>
      <c r="D82" s="48"/>
      <c r="E82" s="303">
        <f t="shared" si="13"/>
        <v>0</v>
      </c>
      <c r="F82" s="48">
        <v>4.5846980000000002E-2</v>
      </c>
      <c r="G82" s="303">
        <f t="shared" si="14"/>
        <v>2.0536902707955799E-3</v>
      </c>
      <c r="H82" s="303" t="s">
        <v>240</v>
      </c>
      <c r="I82" s="302">
        <f t="shared" si="11"/>
        <v>41.945113623944664</v>
      </c>
      <c r="J82" s="301"/>
    </row>
    <row r="83" spans="1:10" x14ac:dyDescent="0.25">
      <c r="A83" s="21" t="s">
        <v>569</v>
      </c>
      <c r="B83" s="48">
        <v>3.2009359999999987E-2</v>
      </c>
      <c r="C83" s="303">
        <f t="shared" si="12"/>
        <v>9.6111152819069524E-4</v>
      </c>
      <c r="D83" s="48">
        <v>2.9664709999999997E-2</v>
      </c>
      <c r="E83" s="303">
        <f t="shared" si="13"/>
        <v>9.826372708169179E-4</v>
      </c>
      <c r="F83" s="48">
        <v>4.3577879999999999E-2</v>
      </c>
      <c r="G83" s="303">
        <f t="shared" si="14"/>
        <v>1.9520471834327425E-3</v>
      </c>
      <c r="H83" s="303">
        <f t="shared" si="10"/>
        <v>46.901419228436758</v>
      </c>
      <c r="I83" s="302">
        <f t="shared" si="11"/>
        <v>36.141053741780581</v>
      </c>
      <c r="J83" s="301"/>
    </row>
    <row r="84" spans="1:10" x14ac:dyDescent="0.25">
      <c r="A84" s="21" t="s">
        <v>566</v>
      </c>
      <c r="B84" s="48">
        <v>5.8898317999999996</v>
      </c>
      <c r="C84" s="303">
        <f t="shared" si="12"/>
        <v>0.17684781083046194</v>
      </c>
      <c r="D84" s="48">
        <v>1.92989199999999E-2</v>
      </c>
      <c r="E84" s="303">
        <f t="shared" si="13"/>
        <v>6.3927266029278353E-4</v>
      </c>
      <c r="F84" s="48">
        <v>4.2668570000000003E-2</v>
      </c>
      <c r="G84" s="303">
        <f t="shared" si="14"/>
        <v>1.9113151417554687E-3</v>
      </c>
      <c r="H84" s="303">
        <f t="shared" si="10"/>
        <v>121.09304562120688</v>
      </c>
      <c r="I84" s="302">
        <f t="shared" si="11"/>
        <v>-99.275555373245126</v>
      </c>
      <c r="J84" s="301"/>
    </row>
    <row r="85" spans="1:10" x14ac:dyDescent="0.25">
      <c r="A85" s="21" t="s">
        <v>727</v>
      </c>
      <c r="B85" s="48"/>
      <c r="C85" s="303">
        <f t="shared" si="12"/>
        <v>0</v>
      </c>
      <c r="D85" s="48"/>
      <c r="E85" s="303">
        <f t="shared" si="13"/>
        <v>0</v>
      </c>
      <c r="F85" s="48">
        <v>4.0585889999999895E-2</v>
      </c>
      <c r="G85" s="303">
        <f t="shared" si="14"/>
        <v>1.8180226358329248E-3</v>
      </c>
      <c r="H85" s="303" t="s">
        <v>240</v>
      </c>
      <c r="I85" s="302" t="s">
        <v>240</v>
      </c>
      <c r="J85" s="301"/>
    </row>
    <row r="86" spans="1:10" x14ac:dyDescent="0.25">
      <c r="A86" s="21" t="s">
        <v>622</v>
      </c>
      <c r="B86" s="48">
        <v>37.348170589999981</v>
      </c>
      <c r="C86" s="303">
        <f t="shared" si="12"/>
        <v>1.1214144022523937</v>
      </c>
      <c r="D86" s="48">
        <v>11.390598609999991</v>
      </c>
      <c r="E86" s="303">
        <f t="shared" si="13"/>
        <v>0.37731117988685448</v>
      </c>
      <c r="F86" s="48">
        <v>3.9928409999999991E-2</v>
      </c>
      <c r="G86" s="303">
        <f t="shared" si="14"/>
        <v>1.7885711805954703E-3</v>
      </c>
      <c r="H86" s="303" t="s">
        <v>240</v>
      </c>
      <c r="I86" s="302">
        <f t="shared" si="11"/>
        <v>-99.893091390102271</v>
      </c>
      <c r="J86" s="301"/>
    </row>
    <row r="87" spans="1:10" x14ac:dyDescent="0.25">
      <c r="A87" s="21" t="s">
        <v>482</v>
      </c>
      <c r="B87" s="48"/>
      <c r="C87" s="303">
        <f t="shared" si="12"/>
        <v>0</v>
      </c>
      <c r="D87" s="48"/>
      <c r="E87" s="303">
        <f t="shared" si="13"/>
        <v>0</v>
      </c>
      <c r="F87" s="48">
        <v>3.7363169999999904E-2</v>
      </c>
      <c r="G87" s="303">
        <f t="shared" si="14"/>
        <v>1.6736626646963676E-3</v>
      </c>
      <c r="H87" s="303" t="s">
        <v>240</v>
      </c>
      <c r="I87" s="302" t="s">
        <v>240</v>
      </c>
      <c r="J87" s="301"/>
    </row>
    <row r="88" spans="1:10" x14ac:dyDescent="0.25">
      <c r="A88" s="21" t="s">
        <v>703</v>
      </c>
      <c r="B88" s="48"/>
      <c r="C88" s="303">
        <f t="shared" si="12"/>
        <v>0</v>
      </c>
      <c r="D88" s="48">
        <v>1.5989799999999998E-3</v>
      </c>
      <c r="E88" s="303">
        <f t="shared" si="13"/>
        <v>5.2965875725427136E-5</v>
      </c>
      <c r="F88" s="48">
        <v>3.7016869999999889E-2</v>
      </c>
      <c r="G88" s="303">
        <f t="shared" si="14"/>
        <v>1.6581503465289216E-3</v>
      </c>
      <c r="H88" s="303">
        <f t="shared" si="10"/>
        <v>2215.0302067568005</v>
      </c>
      <c r="I88" s="302" t="s">
        <v>240</v>
      </c>
      <c r="J88" s="301"/>
    </row>
    <row r="89" spans="1:10" x14ac:dyDescent="0.25">
      <c r="A89" s="21" t="s">
        <v>596</v>
      </c>
      <c r="B89" s="48">
        <v>3.07553699999999E-2</v>
      </c>
      <c r="C89" s="303">
        <f t="shared" si="12"/>
        <v>9.2345928380855409E-4</v>
      </c>
      <c r="D89" s="48">
        <v>8.233513999999989E-2</v>
      </c>
      <c r="E89" s="303">
        <f t="shared" si="13"/>
        <v>2.7273341712064185E-3</v>
      </c>
      <c r="F89" s="48">
        <v>3.5252079999999894E-2</v>
      </c>
      <c r="G89" s="303">
        <f t="shared" si="14"/>
        <v>1.5790975484384624E-3</v>
      </c>
      <c r="H89" s="303">
        <f t="shared" si="10"/>
        <v>-57.184648012986997</v>
      </c>
      <c r="I89" s="302">
        <f t="shared" si="11"/>
        <v>14.620893847155836</v>
      </c>
      <c r="J89" s="301"/>
    </row>
    <row r="90" spans="1:10" x14ac:dyDescent="0.25">
      <c r="A90" s="21" t="s">
        <v>581</v>
      </c>
      <c r="B90" s="48">
        <v>0.24347532999999991</v>
      </c>
      <c r="C90" s="303">
        <f t="shared" si="12"/>
        <v>7.3105787336277218E-3</v>
      </c>
      <c r="D90" s="48">
        <v>1.3367819999999902E-2</v>
      </c>
      <c r="E90" s="303">
        <f t="shared" si="13"/>
        <v>4.4280622199144087E-4</v>
      </c>
      <c r="F90" s="48">
        <v>3.08325099999999E-2</v>
      </c>
      <c r="G90" s="303">
        <f t="shared" si="14"/>
        <v>1.3811253393616594E-3</v>
      </c>
      <c r="H90" s="303">
        <f t="shared" si="10"/>
        <v>130.64725587268623</v>
      </c>
      <c r="I90" s="302">
        <f t="shared" si="11"/>
        <v>-87.336495241632946</v>
      </c>
      <c r="J90" s="301"/>
    </row>
    <row r="91" spans="1:10" x14ac:dyDescent="0.25">
      <c r="A91" s="21" t="s">
        <v>538</v>
      </c>
      <c r="B91" s="48">
        <v>4.7195100000000005E-3</v>
      </c>
      <c r="C91" s="303">
        <f t="shared" si="12"/>
        <v>1.4170778386107284E-4</v>
      </c>
      <c r="D91" s="48">
        <v>4.2471499999999999E-3</v>
      </c>
      <c r="E91" s="303">
        <f t="shared" si="13"/>
        <v>1.4068594922215903E-4</v>
      </c>
      <c r="F91" s="48">
        <v>2.6233669999999997E-2</v>
      </c>
      <c r="G91" s="303">
        <f t="shared" si="14"/>
        <v>1.175122829164797E-3</v>
      </c>
      <c r="H91" s="303">
        <f t="shared" si="10"/>
        <v>517.6770304792625</v>
      </c>
      <c r="I91" s="302">
        <f t="shared" si="11"/>
        <v>455.85579858926019</v>
      </c>
      <c r="J91" s="301"/>
    </row>
    <row r="92" spans="1:10" x14ac:dyDescent="0.25">
      <c r="A92" s="21" t="s">
        <v>621</v>
      </c>
      <c r="B92" s="48">
        <v>2.4801139999999902E-2</v>
      </c>
      <c r="C92" s="303">
        <f t="shared" si="12"/>
        <v>7.4467785567319355E-4</v>
      </c>
      <c r="D92" s="48">
        <v>3.2361559999999991E-2</v>
      </c>
      <c r="E92" s="303">
        <f t="shared" si="13"/>
        <v>1.0719698590607469E-3</v>
      </c>
      <c r="F92" s="48">
        <v>2.6231439999999898E-2</v>
      </c>
      <c r="G92" s="303">
        <f t="shared" si="14"/>
        <v>1.1750229375404396E-3</v>
      </c>
      <c r="H92" s="303">
        <f t="shared" si="10"/>
        <v>-18.942597328435628</v>
      </c>
      <c r="I92" s="302">
        <f t="shared" si="11"/>
        <v>5.767073610325979</v>
      </c>
      <c r="J92" s="301"/>
    </row>
    <row r="93" spans="1:10" x14ac:dyDescent="0.25">
      <c r="A93" s="21" t="s">
        <v>485</v>
      </c>
      <c r="B93" s="48">
        <v>1.4844039999999892E-2</v>
      </c>
      <c r="C93" s="303">
        <f t="shared" si="12"/>
        <v>4.4570644239446555E-4</v>
      </c>
      <c r="D93" s="48">
        <v>3.2896999999999885E-2</v>
      </c>
      <c r="E93" s="303">
        <f t="shared" si="13"/>
        <v>1.0897061962872395E-3</v>
      </c>
      <c r="F93" s="48">
        <v>2.2501299999999901E-2</v>
      </c>
      <c r="G93" s="303">
        <f t="shared" si="14"/>
        <v>1.0079333663908152E-3</v>
      </c>
      <c r="H93" s="303" t="s">
        <v>240</v>
      </c>
      <c r="I93" s="302">
        <f t="shared" si="11"/>
        <v>51.584743775953612</v>
      </c>
      <c r="J93" s="301"/>
    </row>
    <row r="94" spans="1:10" x14ac:dyDescent="0.25">
      <c r="A94" s="21" t="s">
        <v>512</v>
      </c>
      <c r="B94" s="48">
        <v>7.2703599999999896E-3</v>
      </c>
      <c r="C94" s="303">
        <f t="shared" si="12"/>
        <v>2.1829948521608978E-4</v>
      </c>
      <c r="D94" s="48">
        <v>1.2707929999999989E-2</v>
      </c>
      <c r="E94" s="303">
        <f t="shared" si="13"/>
        <v>4.2094750472640473E-4</v>
      </c>
      <c r="F94" s="48">
        <v>1.4487500000000002E-2</v>
      </c>
      <c r="G94" s="303">
        <f t="shared" si="14"/>
        <v>6.4895959991587149E-4</v>
      </c>
      <c r="H94" s="303">
        <f t="shared" ref="H94:H95" si="15">((F94/D94)-1)*100</f>
        <v>14.003618213194557</v>
      </c>
      <c r="I94" s="302">
        <f t="shared" si="11"/>
        <v>99.267986729680828</v>
      </c>
      <c r="J94" s="301"/>
    </row>
    <row r="95" spans="1:10" x14ac:dyDescent="0.25">
      <c r="A95" s="21" t="s">
        <v>584</v>
      </c>
      <c r="B95" s="48">
        <v>9.3994586899999888</v>
      </c>
      <c r="C95" s="303">
        <f t="shared" si="12"/>
        <v>0.28222770170072764</v>
      </c>
      <c r="D95" s="48">
        <v>2.9432458899999903</v>
      </c>
      <c r="E95" s="303">
        <f t="shared" si="13"/>
        <v>9.7494400204576448E-2</v>
      </c>
      <c r="F95" s="48">
        <v>1.4428370000000001E-2</v>
      </c>
      <c r="G95" s="303">
        <f t="shared" si="14"/>
        <v>6.4631090406475663E-4</v>
      </c>
      <c r="H95" s="303">
        <f t="shared" si="15"/>
        <v>-99.509780339827472</v>
      </c>
      <c r="I95" s="302">
        <f t="shared" si="11"/>
        <v>-99.846497862527443</v>
      </c>
      <c r="J95" s="301"/>
    </row>
    <row r="96" spans="1:10" x14ac:dyDescent="0.25">
      <c r="A96" s="21" t="s">
        <v>580</v>
      </c>
      <c r="B96" s="48">
        <v>7.1999999999999994E-4</v>
      </c>
      <c r="C96" s="303">
        <f t="shared" si="12"/>
        <v>2.1618685918659442E-5</v>
      </c>
      <c r="D96" s="48">
        <v>2.4140109999999968E-2</v>
      </c>
      <c r="E96" s="303">
        <f t="shared" si="13"/>
        <v>7.9963605939920392E-4</v>
      </c>
      <c r="F96" s="48">
        <v>1.4348219999999981E-2</v>
      </c>
      <c r="G96" s="303">
        <f t="shared" si="14"/>
        <v>6.4272062886660164E-4</v>
      </c>
      <c r="H96" s="303" t="s">
        <v>240</v>
      </c>
      <c r="I96" s="302">
        <f t="shared" si="11"/>
        <v>1892.8083333333309</v>
      </c>
      <c r="J96" s="301"/>
    </row>
    <row r="97" spans="1:10" x14ac:dyDescent="0.25">
      <c r="A97" s="21" t="s">
        <v>615</v>
      </c>
      <c r="B97" s="48"/>
      <c r="C97" s="303">
        <f t="shared" si="12"/>
        <v>0</v>
      </c>
      <c r="D97" s="48"/>
      <c r="E97" s="303">
        <f t="shared" si="13"/>
        <v>0</v>
      </c>
      <c r="F97" s="48">
        <v>1.300983E-2</v>
      </c>
      <c r="G97" s="303">
        <f t="shared" si="14"/>
        <v>5.827681844192236E-4</v>
      </c>
      <c r="H97" s="303" t="s">
        <v>240</v>
      </c>
      <c r="I97" s="302" t="s">
        <v>240</v>
      </c>
      <c r="J97" s="301"/>
    </row>
    <row r="98" spans="1:10" x14ac:dyDescent="0.25">
      <c r="A98" s="21" t="s">
        <v>970</v>
      </c>
      <c r="B98" s="48">
        <v>7.2862099999999996E-3</v>
      </c>
      <c r="C98" s="303">
        <f t="shared" si="12"/>
        <v>2.1877539656582726E-4</v>
      </c>
      <c r="D98" s="48">
        <v>4.5701200000000004E-3</v>
      </c>
      <c r="E98" s="303">
        <f t="shared" si="13"/>
        <v>1.5138426244874176E-4</v>
      </c>
      <c r="F98" s="48">
        <v>8.7821800000000005E-3</v>
      </c>
      <c r="G98" s="303">
        <f t="shared" si="14"/>
        <v>3.9339292625982183E-4</v>
      </c>
      <c r="H98" s="303" t="s">
        <v>240</v>
      </c>
      <c r="I98" s="302">
        <f t="shared" si="11"/>
        <v>20.531524619795483</v>
      </c>
      <c r="J98" s="301"/>
    </row>
    <row r="99" spans="1:10" x14ac:dyDescent="0.25">
      <c r="A99" s="21" t="s">
        <v>491</v>
      </c>
      <c r="B99" s="48"/>
      <c r="C99" s="303">
        <f t="shared" si="12"/>
        <v>0</v>
      </c>
      <c r="D99" s="48">
        <v>3.6907500000000003E-2</v>
      </c>
      <c r="E99" s="303">
        <f t="shared" si="13"/>
        <v>1.2225531641022415E-3</v>
      </c>
      <c r="F99" s="48">
        <v>8.0708899999999903E-3</v>
      </c>
      <c r="G99" s="303">
        <f t="shared" si="14"/>
        <v>3.615310816472822E-4</v>
      </c>
      <c r="H99" s="303" t="s">
        <v>240</v>
      </c>
      <c r="I99" s="302" t="s">
        <v>240</v>
      </c>
      <c r="J99" s="301"/>
    </row>
    <row r="100" spans="1:10" x14ac:dyDescent="0.25">
      <c r="A100" s="21" t="s">
        <v>613</v>
      </c>
      <c r="B100" s="48"/>
      <c r="C100" s="303">
        <f t="shared" ref="C100:C131" si="16">(B100/$B$133)*100</f>
        <v>0</v>
      </c>
      <c r="D100" s="48"/>
      <c r="E100" s="303">
        <f t="shared" ref="E100:E131" si="17">(D100/$D$133)*100</f>
        <v>0</v>
      </c>
      <c r="F100" s="48">
        <v>7.3258900000000007E-3</v>
      </c>
      <c r="G100" s="303">
        <f t="shared" ref="G100:G131" si="18">(F100/$F$133)*100</f>
        <v>3.281592161123509E-4</v>
      </c>
      <c r="H100" s="303" t="s">
        <v>240</v>
      </c>
      <c r="I100" s="302" t="s">
        <v>240</v>
      </c>
      <c r="J100" s="301"/>
    </row>
    <row r="101" spans="1:10" x14ac:dyDescent="0.25">
      <c r="A101" s="21" t="s">
        <v>501</v>
      </c>
      <c r="B101" s="48">
        <v>1.4707039999999991E-2</v>
      </c>
      <c r="C101" s="303">
        <f t="shared" si="16"/>
        <v>4.4159288687939022E-4</v>
      </c>
      <c r="D101" s="48">
        <v>0.18375539000000002</v>
      </c>
      <c r="E101" s="303">
        <f t="shared" si="17"/>
        <v>6.0868585914879468E-3</v>
      </c>
      <c r="F101" s="48">
        <v>3.6353600000000002E-3</v>
      </c>
      <c r="G101" s="303">
        <f t="shared" si="18"/>
        <v>1.6284395314237533E-4</v>
      </c>
      <c r="H101" s="303">
        <f t="shared" ref="H101:H106" si="19">((F101/D101)-1)*100</f>
        <v>-98.021630821278222</v>
      </c>
      <c r="I101" s="302">
        <f t="shared" ref="I101:I117" si="20">((F101/B101)-1)*100</f>
        <v>-75.28149784048999</v>
      </c>
      <c r="J101" s="301"/>
    </row>
    <row r="102" spans="1:10" x14ac:dyDescent="0.25">
      <c r="A102" s="21" t="s">
        <v>608</v>
      </c>
      <c r="B102" s="48">
        <v>5.4028699999999902E-3</v>
      </c>
      <c r="C102" s="303">
        <f t="shared" si="16"/>
        <v>1.6222631887409354E-4</v>
      </c>
      <c r="D102" s="48">
        <v>2.56163999999999E-3</v>
      </c>
      <c r="E102" s="303">
        <f t="shared" si="17"/>
        <v>8.4853785471539762E-5</v>
      </c>
      <c r="F102" s="48">
        <v>3.15665E-3</v>
      </c>
      <c r="G102" s="303">
        <f t="shared" si="18"/>
        <v>1.4140040179978848E-4</v>
      </c>
      <c r="H102" s="303">
        <f t="shared" si="19"/>
        <v>23.22769788104544</v>
      </c>
      <c r="I102" s="302" t="s">
        <v>240</v>
      </c>
      <c r="J102" s="301"/>
    </row>
    <row r="103" spans="1:10" x14ac:dyDescent="0.25">
      <c r="A103" s="21" t="s">
        <v>502</v>
      </c>
      <c r="B103" s="48"/>
      <c r="C103" s="303">
        <f t="shared" si="16"/>
        <v>0</v>
      </c>
      <c r="D103" s="48"/>
      <c r="E103" s="303">
        <f t="shared" si="17"/>
        <v>0</v>
      </c>
      <c r="F103" s="48">
        <v>2.4501799999999897E-3</v>
      </c>
      <c r="G103" s="303">
        <f t="shared" si="18"/>
        <v>1.0975446643809238E-4</v>
      </c>
      <c r="H103" s="303" t="s">
        <v>240</v>
      </c>
      <c r="I103" s="302" t="s">
        <v>240</v>
      </c>
      <c r="J103" s="301"/>
    </row>
    <row r="104" spans="1:10" x14ac:dyDescent="0.25">
      <c r="A104" s="21" t="s">
        <v>597</v>
      </c>
      <c r="B104" s="48"/>
      <c r="C104" s="303">
        <f t="shared" si="16"/>
        <v>0</v>
      </c>
      <c r="D104" s="48">
        <v>1.1999999999999999E-3</v>
      </c>
      <c r="E104" s="303">
        <f t="shared" si="17"/>
        <v>3.9749747257947287E-5</v>
      </c>
      <c r="F104" s="48">
        <v>1.62038E-3</v>
      </c>
      <c r="G104" s="303">
        <f t="shared" si="18"/>
        <v>7.2584031510728537E-5</v>
      </c>
      <c r="H104" s="303" t="s">
        <v>240</v>
      </c>
      <c r="I104" s="302" t="s">
        <v>240</v>
      </c>
      <c r="J104" s="301"/>
    </row>
    <row r="105" spans="1:10" x14ac:dyDescent="0.25">
      <c r="A105" s="21" t="s">
        <v>508</v>
      </c>
      <c r="B105" s="48">
        <v>2.4399999999999999E-3</v>
      </c>
      <c r="C105" s="303">
        <f t="shared" si="16"/>
        <v>7.3263324502123665E-5</v>
      </c>
      <c r="D105" s="48">
        <v>6.3424700000000002E-3</v>
      </c>
      <c r="E105" s="303">
        <f t="shared" si="17"/>
        <v>2.1009298290926081E-4</v>
      </c>
      <c r="F105" s="48">
        <v>1.1916400000000001E-3</v>
      </c>
      <c r="G105" s="303">
        <f t="shared" si="18"/>
        <v>5.3378858853753174E-5</v>
      </c>
      <c r="H105" s="303" t="s">
        <v>240</v>
      </c>
      <c r="I105" s="302">
        <f t="shared" si="20"/>
        <v>-51.162295081967216</v>
      </c>
      <c r="J105" s="301"/>
    </row>
    <row r="106" spans="1:10" x14ac:dyDescent="0.25">
      <c r="A106" s="21" t="s">
        <v>600</v>
      </c>
      <c r="B106" s="48">
        <v>2.9388000000000001E-3</v>
      </c>
      <c r="C106" s="303">
        <f t="shared" si="16"/>
        <v>8.8240269691328306E-5</v>
      </c>
      <c r="D106" s="48">
        <v>4.3324699999999997E-3</v>
      </c>
      <c r="E106" s="303">
        <f t="shared" si="17"/>
        <v>1.4351215625219908E-4</v>
      </c>
      <c r="F106" s="48">
        <v>7.9776999999999897E-4</v>
      </c>
      <c r="G106" s="303">
        <f t="shared" si="18"/>
        <v>3.5735668681614091E-5</v>
      </c>
      <c r="H106" s="303">
        <f t="shared" si="19"/>
        <v>-81.586254492241167</v>
      </c>
      <c r="I106" s="302" t="s">
        <v>240</v>
      </c>
      <c r="J106" s="301"/>
    </row>
    <row r="107" spans="1:10" x14ac:dyDescent="0.25">
      <c r="A107" s="21" t="s">
        <v>667</v>
      </c>
      <c r="B107" s="48"/>
      <c r="C107" s="303">
        <f t="shared" si="16"/>
        <v>0</v>
      </c>
      <c r="D107" s="48">
        <v>7.0734700000000001E-3</v>
      </c>
      <c r="E107" s="303">
        <f t="shared" si="17"/>
        <v>2.3430720394722703E-4</v>
      </c>
      <c r="F107" s="48">
        <v>7.4201999999999894E-4</v>
      </c>
      <c r="G107" s="303">
        <f t="shared" si="18"/>
        <v>3.3238378072792009E-5</v>
      </c>
      <c r="H107" s="303" t="s">
        <v>240</v>
      </c>
      <c r="I107" s="302" t="s">
        <v>240</v>
      </c>
      <c r="J107" s="301"/>
    </row>
    <row r="108" spans="1:10" x14ac:dyDescent="0.25">
      <c r="A108" s="21" t="s">
        <v>567</v>
      </c>
      <c r="B108" s="48"/>
      <c r="C108" s="303">
        <f t="shared" si="16"/>
        <v>0</v>
      </c>
      <c r="D108" s="48"/>
      <c r="E108" s="303">
        <f t="shared" si="17"/>
        <v>0</v>
      </c>
      <c r="F108" s="48">
        <v>8.1390000000000005E-5</v>
      </c>
      <c r="G108" s="303">
        <f t="shared" si="18"/>
        <v>3.6458203166283192E-6</v>
      </c>
      <c r="H108" s="303" t="s">
        <v>240</v>
      </c>
      <c r="I108" s="302" t="s">
        <v>240</v>
      </c>
      <c r="J108" s="301"/>
    </row>
    <row r="109" spans="1:10" x14ac:dyDescent="0.25">
      <c r="A109" s="21" t="s">
        <v>518</v>
      </c>
      <c r="B109" s="48">
        <v>1.2606699999999981E-2</v>
      </c>
      <c r="C109" s="303">
        <f t="shared" si="16"/>
        <v>3.7852817745939391E-4</v>
      </c>
      <c r="D109" s="48">
        <v>1.17331999999999E-2</v>
      </c>
      <c r="E109" s="303">
        <f t="shared" si="17"/>
        <v>3.8865977877245263E-4</v>
      </c>
      <c r="F109" s="48">
        <v>3.38399999999999E-5</v>
      </c>
      <c r="G109" s="303">
        <f t="shared" si="18"/>
        <v>1.5158442009424004E-6</v>
      </c>
      <c r="H109" s="303" t="s">
        <v>240</v>
      </c>
      <c r="I109" s="302">
        <f t="shared" si="20"/>
        <v>-99.731571307320706</v>
      </c>
      <c r="J109" s="301"/>
    </row>
    <row r="110" spans="1:10" x14ac:dyDescent="0.25">
      <c r="A110" s="21" t="s">
        <v>977</v>
      </c>
      <c r="B110" s="48">
        <v>13.029827090000001</v>
      </c>
      <c r="C110" s="303">
        <f t="shared" si="16"/>
        <v>0.39123297143493113</v>
      </c>
      <c r="D110" s="48"/>
      <c r="E110" s="303">
        <f t="shared" si="17"/>
        <v>0</v>
      </c>
      <c r="F110" s="48"/>
      <c r="G110" s="303">
        <f t="shared" si="18"/>
        <v>0</v>
      </c>
      <c r="H110" s="303" t="s">
        <v>240</v>
      </c>
      <c r="I110" s="302">
        <f t="shared" si="20"/>
        <v>-100</v>
      </c>
      <c r="J110" s="301"/>
    </row>
    <row r="111" spans="1:10" x14ac:dyDescent="0.25">
      <c r="A111" s="21" t="s">
        <v>973</v>
      </c>
      <c r="B111" s="48">
        <v>0.38396427</v>
      </c>
      <c r="C111" s="303">
        <f t="shared" si="16"/>
        <v>1.1528892995996324E-2</v>
      </c>
      <c r="D111" s="48"/>
      <c r="E111" s="303">
        <f t="shared" si="17"/>
        <v>0</v>
      </c>
      <c r="F111" s="48"/>
      <c r="G111" s="303">
        <f t="shared" si="18"/>
        <v>0</v>
      </c>
      <c r="H111" s="303" t="s">
        <v>240</v>
      </c>
      <c r="I111" s="302">
        <f t="shared" si="20"/>
        <v>-100</v>
      </c>
      <c r="J111" s="301"/>
    </row>
    <row r="112" spans="1:10" x14ac:dyDescent="0.25">
      <c r="A112" s="21" t="s">
        <v>692</v>
      </c>
      <c r="B112" s="48"/>
      <c r="C112" s="303">
        <f t="shared" si="16"/>
        <v>0</v>
      </c>
      <c r="D112" s="48">
        <v>1.008E-3</v>
      </c>
      <c r="E112" s="303">
        <f t="shared" si="17"/>
        <v>3.3389787696675723E-5</v>
      </c>
      <c r="F112" s="48"/>
      <c r="G112" s="303">
        <f t="shared" si="18"/>
        <v>0</v>
      </c>
      <c r="H112" s="303" t="s">
        <v>240</v>
      </c>
      <c r="I112" s="302" t="s">
        <v>240</v>
      </c>
      <c r="J112" s="301"/>
    </row>
    <row r="113" spans="1:10" x14ac:dyDescent="0.25">
      <c r="A113" s="21" t="s">
        <v>674</v>
      </c>
      <c r="B113" s="48"/>
      <c r="C113" s="303">
        <f t="shared" si="16"/>
        <v>0</v>
      </c>
      <c r="D113" s="48">
        <v>1.2800999999999899E-4</v>
      </c>
      <c r="E113" s="303">
        <f t="shared" si="17"/>
        <v>4.2403042887414937E-6</v>
      </c>
      <c r="F113" s="48"/>
      <c r="G113" s="303">
        <f t="shared" si="18"/>
        <v>0</v>
      </c>
      <c r="H113" s="303" t="s">
        <v>240</v>
      </c>
      <c r="I113" s="302" t="s">
        <v>240</v>
      </c>
      <c r="J113" s="301"/>
    </row>
    <row r="114" spans="1:10" x14ac:dyDescent="0.25">
      <c r="A114" s="21" t="s">
        <v>666</v>
      </c>
      <c r="B114" s="48"/>
      <c r="C114" s="303">
        <f t="shared" si="16"/>
        <v>0</v>
      </c>
      <c r="D114" s="48">
        <v>902.10491658000001</v>
      </c>
      <c r="E114" s="303">
        <f t="shared" si="17"/>
        <v>29.882035361838856</v>
      </c>
      <c r="F114" s="48"/>
      <c r="G114" s="303">
        <f t="shared" si="18"/>
        <v>0</v>
      </c>
      <c r="H114" s="303" t="s">
        <v>240</v>
      </c>
      <c r="I114" s="302" t="s">
        <v>240</v>
      </c>
      <c r="J114" s="301"/>
    </row>
    <row r="115" spans="1:10" x14ac:dyDescent="0.25">
      <c r="A115" s="21" t="s">
        <v>643</v>
      </c>
      <c r="B115" s="48">
        <v>1.7607825500000001</v>
      </c>
      <c r="C115" s="303">
        <f t="shared" si="16"/>
        <v>5.2869173499314262E-2</v>
      </c>
      <c r="D115" s="48"/>
      <c r="E115" s="303">
        <f t="shared" si="17"/>
        <v>0</v>
      </c>
      <c r="F115" s="48"/>
      <c r="G115" s="303">
        <f t="shared" si="18"/>
        <v>0</v>
      </c>
      <c r="H115" s="303" t="s">
        <v>240</v>
      </c>
      <c r="I115" s="302">
        <f t="shared" si="20"/>
        <v>-100</v>
      </c>
      <c r="J115" s="301"/>
    </row>
    <row r="116" spans="1:10" x14ac:dyDescent="0.25">
      <c r="A116" s="21" t="s">
        <v>638</v>
      </c>
      <c r="B116" s="48">
        <v>2.03047106</v>
      </c>
      <c r="C116" s="303">
        <f t="shared" si="16"/>
        <v>6.096682793481599E-2</v>
      </c>
      <c r="D116" s="48"/>
      <c r="E116" s="303">
        <f t="shared" si="17"/>
        <v>0</v>
      </c>
      <c r="F116" s="48"/>
      <c r="G116" s="303">
        <f t="shared" si="18"/>
        <v>0</v>
      </c>
      <c r="H116" s="303" t="s">
        <v>240</v>
      </c>
      <c r="I116" s="302">
        <f t="shared" si="20"/>
        <v>-100</v>
      </c>
      <c r="J116" s="301"/>
    </row>
    <row r="117" spans="1:10" x14ac:dyDescent="0.25">
      <c r="A117" s="21" t="s">
        <v>636</v>
      </c>
      <c r="B117" s="48">
        <v>28.420645530000002</v>
      </c>
      <c r="C117" s="303">
        <f t="shared" si="16"/>
        <v>0.8533569573869757</v>
      </c>
      <c r="D117" s="48">
        <v>5.4217190000000005E-2</v>
      </c>
      <c r="E117" s="303">
        <f t="shared" si="17"/>
        <v>1.7959329996134232E-3</v>
      </c>
      <c r="F117" s="48"/>
      <c r="G117" s="303">
        <f t="shared" si="18"/>
        <v>0</v>
      </c>
      <c r="H117" s="303" t="s">
        <v>240</v>
      </c>
      <c r="I117" s="302">
        <f t="shared" si="20"/>
        <v>-100</v>
      </c>
      <c r="J117" s="301"/>
    </row>
    <row r="118" spans="1:10" x14ac:dyDescent="0.25">
      <c r="A118" s="21" t="s">
        <v>635</v>
      </c>
      <c r="B118" s="48">
        <v>1.3311132499999991</v>
      </c>
      <c r="C118" s="303">
        <f t="shared" si="16"/>
        <v>3.9967943435994427E-2</v>
      </c>
      <c r="D118" s="48"/>
      <c r="E118" s="303">
        <f t="shared" si="17"/>
        <v>0</v>
      </c>
      <c r="F118" s="48"/>
      <c r="G118" s="303">
        <f t="shared" si="18"/>
        <v>0</v>
      </c>
      <c r="H118" s="303" t="s">
        <v>240</v>
      </c>
      <c r="I118" s="302" t="s">
        <v>240</v>
      </c>
      <c r="J118" s="301"/>
    </row>
    <row r="119" spans="1:10" x14ac:dyDescent="0.25">
      <c r="A119" s="21" t="s">
        <v>658</v>
      </c>
      <c r="B119" s="48">
        <v>0.1032095</v>
      </c>
      <c r="C119" s="303">
        <f t="shared" si="16"/>
        <v>3.098963561558169E-3</v>
      </c>
      <c r="D119" s="48">
        <v>8.8950000000000001E-2</v>
      </c>
      <c r="E119" s="303">
        <f t="shared" si="17"/>
        <v>2.9464500154953431E-3</v>
      </c>
      <c r="F119" s="48"/>
      <c r="G119" s="303">
        <f t="shared" si="18"/>
        <v>0</v>
      </c>
      <c r="H119" s="303">
        <f t="shared" ref="H119:H125" si="21">((F119/D119)-1)*100</f>
        <v>-100</v>
      </c>
      <c r="I119" s="302">
        <f t="shared" ref="I119:I131" si="22">((F119/B119)-1)*100</f>
        <v>-100</v>
      </c>
      <c r="J119" s="301"/>
    </row>
    <row r="120" spans="1:10" x14ac:dyDescent="0.25">
      <c r="A120" s="21" t="s">
        <v>625</v>
      </c>
      <c r="B120" s="48">
        <v>1.5386944899999999</v>
      </c>
      <c r="C120" s="303">
        <f t="shared" si="16"/>
        <v>4.6200767922335934E-2</v>
      </c>
      <c r="D120" s="48"/>
      <c r="E120" s="303">
        <f t="shared" si="17"/>
        <v>0</v>
      </c>
      <c r="F120" s="48"/>
      <c r="G120" s="303">
        <f t="shared" si="18"/>
        <v>0</v>
      </c>
      <c r="H120" s="303" t="s">
        <v>240</v>
      </c>
      <c r="I120" s="302">
        <f t="shared" si="22"/>
        <v>-100</v>
      </c>
      <c r="J120" s="301"/>
    </row>
    <row r="121" spans="1:10" x14ac:dyDescent="0.25">
      <c r="A121" s="21" t="s">
        <v>601</v>
      </c>
      <c r="B121" s="48"/>
      <c r="C121" s="303">
        <f t="shared" si="16"/>
        <v>0</v>
      </c>
      <c r="D121" s="48">
        <v>6.4991000000000007E-3</v>
      </c>
      <c r="E121" s="303">
        <f t="shared" si="17"/>
        <v>2.1528131867010441E-4</v>
      </c>
      <c r="F121" s="48"/>
      <c r="G121" s="303">
        <f t="shared" si="18"/>
        <v>0</v>
      </c>
      <c r="H121" s="303" t="s">
        <v>240</v>
      </c>
      <c r="I121" s="302" t="s">
        <v>240</v>
      </c>
      <c r="J121" s="301"/>
    </row>
    <row r="122" spans="1:10" x14ac:dyDescent="0.25">
      <c r="A122" s="21" t="s">
        <v>598</v>
      </c>
      <c r="B122" s="48">
        <v>0.43017775000000003</v>
      </c>
      <c r="C122" s="303">
        <f t="shared" si="16"/>
        <v>1.2916496758952225E-2</v>
      </c>
      <c r="D122" s="48"/>
      <c r="E122" s="303">
        <f t="shared" si="17"/>
        <v>0</v>
      </c>
      <c r="F122" s="48"/>
      <c r="G122" s="303">
        <f t="shared" si="18"/>
        <v>0</v>
      </c>
      <c r="H122" s="303" t="s">
        <v>240</v>
      </c>
      <c r="I122" s="302">
        <f t="shared" si="22"/>
        <v>-100</v>
      </c>
      <c r="J122" s="301"/>
    </row>
    <row r="123" spans="1:10" x14ac:dyDescent="0.25">
      <c r="A123" s="21" t="s">
        <v>480</v>
      </c>
      <c r="B123" s="48"/>
      <c r="C123" s="303">
        <f t="shared" si="16"/>
        <v>0</v>
      </c>
      <c r="D123" s="48">
        <v>2.2388209999999902E-2</v>
      </c>
      <c r="E123" s="303">
        <f t="shared" si="17"/>
        <v>7.4160474088153677E-4</v>
      </c>
      <c r="F123" s="48"/>
      <c r="G123" s="303">
        <f t="shared" si="18"/>
        <v>0</v>
      </c>
      <c r="H123" s="303" t="s">
        <v>240</v>
      </c>
      <c r="I123" s="302" t="s">
        <v>240</v>
      </c>
      <c r="J123" s="301"/>
    </row>
    <row r="124" spans="1:10" x14ac:dyDescent="0.25">
      <c r="A124" s="21" t="s">
        <v>592</v>
      </c>
      <c r="B124" s="48">
        <v>1.5522610000000001E-2</v>
      </c>
      <c r="C124" s="303">
        <f t="shared" si="16"/>
        <v>4.6608115309422542E-4</v>
      </c>
      <c r="D124" s="48"/>
      <c r="E124" s="303">
        <f t="shared" si="17"/>
        <v>0</v>
      </c>
      <c r="F124" s="48"/>
      <c r="G124" s="303">
        <f t="shared" si="18"/>
        <v>0</v>
      </c>
      <c r="H124" s="303" t="s">
        <v>240</v>
      </c>
      <c r="I124" s="302">
        <f t="shared" si="22"/>
        <v>-100</v>
      </c>
      <c r="J124" s="301"/>
    </row>
    <row r="125" spans="1:10" x14ac:dyDescent="0.25">
      <c r="A125" s="21" t="s">
        <v>572</v>
      </c>
      <c r="B125" s="48"/>
      <c r="C125" s="303">
        <f t="shared" si="16"/>
        <v>0</v>
      </c>
      <c r="D125" s="48">
        <v>1.1537647599999998</v>
      </c>
      <c r="E125" s="303">
        <f t="shared" si="17"/>
        <v>3.8218214670938506E-2</v>
      </c>
      <c r="F125" s="48"/>
      <c r="G125" s="303">
        <f t="shared" si="18"/>
        <v>0</v>
      </c>
      <c r="H125" s="303">
        <f t="shared" si="21"/>
        <v>-100</v>
      </c>
      <c r="I125" s="302" t="s">
        <v>240</v>
      </c>
      <c r="J125" s="301"/>
    </row>
    <row r="126" spans="1:10" x14ac:dyDescent="0.25">
      <c r="A126" s="21" t="s">
        <v>486</v>
      </c>
      <c r="B126" s="48"/>
      <c r="C126" s="303">
        <f t="shared" si="16"/>
        <v>0</v>
      </c>
      <c r="D126" s="48">
        <v>6.1247000000000005E-4</v>
      </c>
      <c r="E126" s="303">
        <f t="shared" si="17"/>
        <v>2.0287939752562481E-5</v>
      </c>
      <c r="F126" s="48"/>
      <c r="G126" s="303">
        <f t="shared" si="18"/>
        <v>0</v>
      </c>
      <c r="H126" s="303" t="s">
        <v>240</v>
      </c>
      <c r="I126" s="302" t="s">
        <v>240</v>
      </c>
      <c r="J126" s="301"/>
    </row>
    <row r="127" spans="1:10" x14ac:dyDescent="0.25">
      <c r="A127" s="21" t="s">
        <v>561</v>
      </c>
      <c r="B127" s="48">
        <v>0.187737399999999</v>
      </c>
      <c r="C127" s="303">
        <f t="shared" si="16"/>
        <v>5.636994285813492E-3</v>
      </c>
      <c r="D127" s="48"/>
      <c r="E127" s="303">
        <f t="shared" si="17"/>
        <v>0</v>
      </c>
      <c r="F127" s="48"/>
      <c r="G127" s="303">
        <f t="shared" si="18"/>
        <v>0</v>
      </c>
      <c r="H127" s="303" t="s">
        <v>240</v>
      </c>
      <c r="I127" s="302">
        <f t="shared" si="22"/>
        <v>-100</v>
      </c>
      <c r="J127" s="301"/>
    </row>
    <row r="128" spans="1:10" x14ac:dyDescent="0.25">
      <c r="A128" s="21" t="s">
        <v>559</v>
      </c>
      <c r="B128" s="48">
        <v>5.3380639999999896E-2</v>
      </c>
      <c r="C128" s="303">
        <f t="shared" si="16"/>
        <v>1.6028045698569817E-3</v>
      </c>
      <c r="D128" s="48">
        <v>0.69800377999999885</v>
      </c>
      <c r="E128" s="303">
        <f t="shared" si="17"/>
        <v>2.3121228200076501E-2</v>
      </c>
      <c r="F128" s="48"/>
      <c r="G128" s="303">
        <f t="shared" si="18"/>
        <v>0</v>
      </c>
      <c r="H128" s="303" t="s">
        <v>240</v>
      </c>
      <c r="I128" s="302">
        <f t="shared" si="22"/>
        <v>-100</v>
      </c>
      <c r="J128" s="301"/>
    </row>
    <row r="129" spans="1:10" x14ac:dyDescent="0.25">
      <c r="A129" s="21" t="s">
        <v>541</v>
      </c>
      <c r="B129" s="48"/>
      <c r="C129" s="303">
        <f t="shared" si="16"/>
        <v>0</v>
      </c>
      <c r="D129" s="48">
        <v>1.5917652600000001</v>
      </c>
      <c r="E129" s="303">
        <f t="shared" si="17"/>
        <v>5.2726888982483969E-2</v>
      </c>
      <c r="F129" s="48"/>
      <c r="G129" s="303">
        <f t="shared" si="18"/>
        <v>0</v>
      </c>
      <c r="H129" s="303" t="s">
        <v>240</v>
      </c>
      <c r="I129" s="302" t="s">
        <v>240</v>
      </c>
      <c r="J129" s="301"/>
    </row>
    <row r="130" spans="1:10" x14ac:dyDescent="0.25">
      <c r="A130" s="21" t="s">
        <v>530</v>
      </c>
      <c r="B130" s="48">
        <v>1.94878E-3</v>
      </c>
      <c r="C130" s="303">
        <f t="shared" si="16"/>
        <v>5.8513976034118267E-5</v>
      </c>
      <c r="D130" s="48"/>
      <c r="E130" s="303">
        <f t="shared" si="17"/>
        <v>0</v>
      </c>
      <c r="F130" s="48"/>
      <c r="G130" s="303">
        <f t="shared" si="18"/>
        <v>0</v>
      </c>
      <c r="H130" s="303" t="s">
        <v>240</v>
      </c>
      <c r="I130" s="302">
        <f t="shared" si="22"/>
        <v>-100</v>
      </c>
      <c r="J130" s="301"/>
    </row>
    <row r="131" spans="1:10" x14ac:dyDescent="0.25">
      <c r="A131" s="21" t="s">
        <v>497</v>
      </c>
      <c r="B131" s="48">
        <v>1.9295199999999999E-3</v>
      </c>
      <c r="C131" s="303">
        <f t="shared" si="16"/>
        <v>5.7935676185794125E-5</v>
      </c>
      <c r="D131" s="48">
        <v>1.9678420000000005E-2</v>
      </c>
      <c r="E131" s="303">
        <f t="shared" si="17"/>
        <v>6.5184351786311278E-4</v>
      </c>
      <c r="F131" s="48"/>
      <c r="G131" s="303">
        <f t="shared" si="18"/>
        <v>0</v>
      </c>
      <c r="H131" s="303" t="s">
        <v>240</v>
      </c>
      <c r="I131" s="302">
        <f t="shared" si="22"/>
        <v>-100</v>
      </c>
      <c r="J131" s="301"/>
    </row>
    <row r="132" spans="1:10" x14ac:dyDescent="0.25">
      <c r="A132" s="54" t="s">
        <v>487</v>
      </c>
      <c r="B132" s="49"/>
      <c r="C132" s="303">
        <f t="shared" ref="C132" si="23">(B132/$B$133)*100</f>
        <v>0</v>
      </c>
      <c r="D132" s="49">
        <v>1.8121889499999999</v>
      </c>
      <c r="E132" s="303">
        <f t="shared" ref="E132" si="24">(D132/$D$133)*100</f>
        <v>6.002837728845406E-2</v>
      </c>
      <c r="F132" s="49"/>
      <c r="G132" s="303">
        <f t="shared" ref="G132" si="25">(F132/$F$133)*100</f>
        <v>0</v>
      </c>
      <c r="H132" s="303">
        <f>((F132/D132)-1)*100</f>
        <v>-100</v>
      </c>
      <c r="I132" s="302" t="s">
        <v>240</v>
      </c>
      <c r="J132" s="301"/>
    </row>
    <row r="133" spans="1:10" ht="13" x14ac:dyDescent="0.3">
      <c r="A133" s="300" t="s">
        <v>217</v>
      </c>
      <c r="B133" s="299">
        <f t="shared" ref="B133:G133" si="26">SUM(B4:B132)</f>
        <v>3330.4521963499924</v>
      </c>
      <c r="C133" s="299">
        <f t="shared" si="26"/>
        <v>100.00000000000001</v>
      </c>
      <c r="D133" s="299">
        <f t="shared" si="26"/>
        <v>3018.8871194899993</v>
      </c>
      <c r="E133" s="299">
        <f t="shared" si="26"/>
        <v>99.999999999999986</v>
      </c>
      <c r="F133" s="299">
        <f t="shared" si="26"/>
        <v>2232.4193989699979</v>
      </c>
      <c r="G133" s="299">
        <f t="shared" si="26"/>
        <v>99.999999999999943</v>
      </c>
      <c r="H133" s="298">
        <f>((F133/D133)-1)*100</f>
        <v>-26.051577597669983</v>
      </c>
      <c r="I133" s="298">
        <f>((F133/B133)-1)*100</f>
        <v>-32.969480798534903</v>
      </c>
    </row>
  </sheetData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B7778F1C-A833-4C2B-B997-8484B493BEB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L258"/>
  <sheetViews>
    <sheetView zoomScaleNormal="100" workbookViewId="0">
      <selection activeCell="A8" sqref="A8"/>
    </sheetView>
  </sheetViews>
  <sheetFormatPr defaultColWidth="9.1796875" defaultRowHeight="12.5" x14ac:dyDescent="0.25"/>
  <cols>
    <col min="1" max="1" width="39" style="304" customWidth="1"/>
    <col min="2" max="2" width="14.81640625" style="18" customWidth="1"/>
    <col min="3" max="3" width="11.6328125" style="41" customWidth="1"/>
    <col min="4" max="4" width="13.26953125" style="18" bestFit="1" customWidth="1"/>
    <col min="5" max="5" width="11.6328125" style="41" customWidth="1"/>
    <col min="6" max="6" width="13.81640625" style="18" bestFit="1" customWidth="1"/>
    <col min="7" max="7" width="11.6328125" style="41" customWidth="1"/>
    <col min="8" max="8" width="13.81640625" style="41" bestFit="1" customWidth="1"/>
    <col min="9" max="9" width="12.81640625" style="41" bestFit="1" customWidth="1"/>
    <col min="10" max="10" width="9.1796875" style="1"/>
    <col min="11" max="11" width="13.81640625" style="1" bestFit="1" customWidth="1"/>
    <col min="12" max="12" width="17.453125" style="1" bestFit="1" customWidth="1"/>
    <col min="13" max="16384" width="9.1796875" style="1"/>
  </cols>
  <sheetData>
    <row r="1" spans="1:12" ht="13" x14ac:dyDescent="0.3">
      <c r="A1" s="38" t="s">
        <v>929</v>
      </c>
      <c r="K1" s="308" t="s">
        <v>239</v>
      </c>
      <c r="L1" s="308"/>
    </row>
    <row r="2" spans="1:12" ht="14.15" customHeight="1" x14ac:dyDescent="0.3">
      <c r="A2" s="569" t="s">
        <v>729</v>
      </c>
      <c r="B2" s="556">
        <v>45597</v>
      </c>
      <c r="C2" s="556"/>
      <c r="D2" s="556">
        <v>45934</v>
      </c>
      <c r="E2" s="556"/>
      <c r="F2" s="556">
        <v>45962</v>
      </c>
      <c r="G2" s="556"/>
      <c r="H2" s="535" t="s">
        <v>233</v>
      </c>
      <c r="I2" s="535" t="s">
        <v>903</v>
      </c>
    </row>
    <row r="3" spans="1:12" ht="13" x14ac:dyDescent="0.3">
      <c r="A3" s="570"/>
      <c r="B3" s="292" t="s">
        <v>902</v>
      </c>
      <c r="C3" s="270" t="s">
        <v>234</v>
      </c>
      <c r="D3" s="292" t="s">
        <v>902</v>
      </c>
      <c r="E3" s="270" t="s">
        <v>234</v>
      </c>
      <c r="F3" s="270" t="s">
        <v>902</v>
      </c>
      <c r="G3" s="270" t="s">
        <v>234</v>
      </c>
      <c r="H3" s="536"/>
      <c r="I3" s="536"/>
    </row>
    <row r="4" spans="1:12" ht="14.5" x14ac:dyDescent="0.35">
      <c r="A4" s="400" t="s">
        <v>964</v>
      </c>
      <c r="B4" s="397">
        <v>1698.3770994899999</v>
      </c>
      <c r="C4" s="203">
        <f t="shared" ref="C4:C67" si="0">(B4/$B$258)*100</f>
        <v>9.8126118472085437</v>
      </c>
      <c r="D4" s="397">
        <v>1746.174193899998</v>
      </c>
      <c r="E4" s="203">
        <f t="shared" ref="E4:E67" si="1">(D4/$D$258)*100</f>
        <v>10.860315306696142</v>
      </c>
      <c r="F4" s="397">
        <v>2299.2501524599948</v>
      </c>
      <c r="G4" s="203">
        <f t="shared" ref="G4:G67" si="2">(F4/$F$258)*100</f>
        <v>15.953445438436933</v>
      </c>
      <c r="H4" s="203">
        <f t="shared" ref="H4:H67" si="3">((F4/D4)-1)*100</f>
        <v>31.673584484989291</v>
      </c>
      <c r="I4" s="200">
        <f t="shared" ref="I4:I67" si="4">((F4/B4)-1)*100</f>
        <v>35.379248410169282</v>
      </c>
      <c r="J4" s="306"/>
      <c r="K4" s="306"/>
    </row>
    <row r="5" spans="1:12" ht="14.5" x14ac:dyDescent="0.35">
      <c r="A5" s="236" t="s">
        <v>540</v>
      </c>
      <c r="B5" s="235">
        <v>659.08398400999761</v>
      </c>
      <c r="C5" s="203">
        <f t="shared" si="0"/>
        <v>3.8079501376602187</v>
      </c>
      <c r="D5" s="235">
        <v>526.73712215999956</v>
      </c>
      <c r="E5" s="203">
        <f t="shared" si="1"/>
        <v>3.2760369786606347</v>
      </c>
      <c r="F5" s="235">
        <v>533.82425196999964</v>
      </c>
      <c r="G5" s="203">
        <f t="shared" si="2"/>
        <v>3.7039623846087695</v>
      </c>
      <c r="H5" s="203">
        <f t="shared" si="3"/>
        <v>1.3454775659133</v>
      </c>
      <c r="I5" s="200">
        <f t="shared" si="4"/>
        <v>-19.005124548451768</v>
      </c>
      <c r="J5" s="306"/>
      <c r="K5" s="306"/>
    </row>
    <row r="6" spans="1:12" ht="14.5" x14ac:dyDescent="0.35">
      <c r="A6" s="236" t="s">
        <v>665</v>
      </c>
      <c r="B6" s="235">
        <v>572.02314527999988</v>
      </c>
      <c r="C6" s="203">
        <f t="shared" si="0"/>
        <v>3.3049439337927615</v>
      </c>
      <c r="D6" s="235">
        <v>524.69866512999999</v>
      </c>
      <c r="E6" s="203">
        <f t="shared" si="1"/>
        <v>3.2633588127810311</v>
      </c>
      <c r="F6" s="235">
        <v>406.79369464000001</v>
      </c>
      <c r="G6" s="203">
        <f t="shared" si="2"/>
        <v>2.8225554340818215</v>
      </c>
      <c r="H6" s="203">
        <f t="shared" si="3"/>
        <v>-22.470987316269941</v>
      </c>
      <c r="I6" s="200">
        <f t="shared" si="4"/>
        <v>-28.885098794231766</v>
      </c>
      <c r="J6" s="306"/>
      <c r="K6" s="306"/>
    </row>
    <row r="7" spans="1:12" ht="14.5" x14ac:dyDescent="0.35">
      <c r="A7" s="236" t="s">
        <v>628</v>
      </c>
      <c r="B7" s="235">
        <v>367.95633127999992</v>
      </c>
      <c r="C7" s="203">
        <f t="shared" si="0"/>
        <v>2.125919300641617</v>
      </c>
      <c r="D7" s="235">
        <v>985.89256227999977</v>
      </c>
      <c r="E7" s="203">
        <f t="shared" si="1"/>
        <v>6.131750269985119</v>
      </c>
      <c r="F7" s="235">
        <v>389.6385600499998</v>
      </c>
      <c r="G7" s="203">
        <f t="shared" si="2"/>
        <v>2.7035237996257822</v>
      </c>
      <c r="H7" s="203">
        <f t="shared" si="3"/>
        <v>-60.478598281651308</v>
      </c>
      <c r="I7" s="200">
        <f t="shared" si="4"/>
        <v>5.8926092383230655</v>
      </c>
      <c r="J7" s="306"/>
      <c r="K7" s="306"/>
    </row>
    <row r="8" spans="1:12" ht="14.5" x14ac:dyDescent="0.35">
      <c r="A8" s="236" t="s">
        <v>526</v>
      </c>
      <c r="B8" s="235">
        <v>212.89033477999902</v>
      </c>
      <c r="C8" s="203">
        <f t="shared" si="0"/>
        <v>1.2300037617356672</v>
      </c>
      <c r="D8" s="235">
        <v>374.39947882999996</v>
      </c>
      <c r="E8" s="203">
        <f t="shared" si="1"/>
        <v>2.3285743226310491</v>
      </c>
      <c r="F8" s="235">
        <v>359.99542470999904</v>
      </c>
      <c r="G8" s="203">
        <f t="shared" si="2"/>
        <v>2.4978436383066969</v>
      </c>
      <c r="H8" s="203">
        <f t="shared" si="3"/>
        <v>-3.8472420327650192</v>
      </c>
      <c r="I8" s="200">
        <f t="shared" si="4"/>
        <v>69.098998825859567</v>
      </c>
      <c r="J8" s="306"/>
      <c r="K8" s="306"/>
    </row>
    <row r="9" spans="1:12" ht="14.5" x14ac:dyDescent="0.35">
      <c r="A9" s="236" t="s">
        <v>541</v>
      </c>
      <c r="B9" s="235">
        <v>280.88918294999985</v>
      </c>
      <c r="C9" s="203">
        <f t="shared" si="0"/>
        <v>1.6228766421753824</v>
      </c>
      <c r="D9" s="235">
        <v>303.60864173999965</v>
      </c>
      <c r="E9" s="203">
        <f t="shared" si="1"/>
        <v>1.8882913231982947</v>
      </c>
      <c r="F9" s="235">
        <v>338.51491511999944</v>
      </c>
      <c r="G9" s="203">
        <f t="shared" si="2"/>
        <v>2.3488002045736454</v>
      </c>
      <c r="H9" s="203">
        <f t="shared" si="3"/>
        <v>11.497127743120149</v>
      </c>
      <c r="I9" s="200">
        <f t="shared" si="4"/>
        <v>20.515468614630628</v>
      </c>
      <c r="J9" s="306"/>
      <c r="K9" s="306"/>
    </row>
    <row r="10" spans="1:12" ht="14.5" x14ac:dyDescent="0.35">
      <c r="A10" s="236" t="s">
        <v>521</v>
      </c>
      <c r="B10" s="235">
        <v>243.93362324999981</v>
      </c>
      <c r="C10" s="203">
        <f t="shared" si="0"/>
        <v>1.4093607139157891</v>
      </c>
      <c r="D10" s="235">
        <v>217.65669074999968</v>
      </c>
      <c r="E10" s="203">
        <f t="shared" si="1"/>
        <v>1.3537139069027062</v>
      </c>
      <c r="F10" s="235">
        <v>336.62728274999961</v>
      </c>
      <c r="G10" s="203">
        <f t="shared" si="2"/>
        <v>2.3357027867087816</v>
      </c>
      <c r="H10" s="203">
        <f t="shared" si="3"/>
        <v>54.659744935959466</v>
      </c>
      <c r="I10" s="200">
        <f t="shared" si="4"/>
        <v>37.999541951213935</v>
      </c>
      <c r="J10" s="306"/>
      <c r="K10" s="306"/>
    </row>
    <row r="11" spans="1:12" ht="14.5" x14ac:dyDescent="0.35">
      <c r="A11" s="236" t="s">
        <v>565</v>
      </c>
      <c r="B11" s="235">
        <v>292.3965877499997</v>
      </c>
      <c r="C11" s="203">
        <f t="shared" si="0"/>
        <v>1.6893622870330589</v>
      </c>
      <c r="D11" s="235">
        <v>157.5659383499999</v>
      </c>
      <c r="E11" s="203">
        <f t="shared" si="1"/>
        <v>0.97997999171807959</v>
      </c>
      <c r="F11" s="235">
        <v>282.8152786399998</v>
      </c>
      <c r="G11" s="203">
        <f t="shared" si="2"/>
        <v>1.9623258966025352</v>
      </c>
      <c r="H11" s="203">
        <f t="shared" si="3"/>
        <v>79.490111633000666</v>
      </c>
      <c r="I11" s="200">
        <f t="shared" si="4"/>
        <v>-3.2768197412043509</v>
      </c>
      <c r="J11" s="306"/>
      <c r="K11" s="306"/>
    </row>
    <row r="12" spans="1:12" ht="14.5" x14ac:dyDescent="0.35">
      <c r="A12" s="236" t="s">
        <v>658</v>
      </c>
      <c r="B12" s="235">
        <v>186.45726610999981</v>
      </c>
      <c r="C12" s="203">
        <f t="shared" si="0"/>
        <v>1.0772830009180616</v>
      </c>
      <c r="D12" s="235">
        <v>622.50105746999861</v>
      </c>
      <c r="E12" s="203">
        <f t="shared" si="1"/>
        <v>3.8716399466290201</v>
      </c>
      <c r="F12" s="235">
        <v>277.17767830999884</v>
      </c>
      <c r="G12" s="203">
        <f t="shared" si="2"/>
        <v>1.9232091657969907</v>
      </c>
      <c r="H12" s="203">
        <f t="shared" si="3"/>
        <v>-55.473540970915145</v>
      </c>
      <c r="I12" s="200">
        <f t="shared" si="4"/>
        <v>48.654801227472056</v>
      </c>
      <c r="J12" s="306"/>
      <c r="K12" s="306"/>
    </row>
    <row r="13" spans="1:12" ht="14.5" x14ac:dyDescent="0.35">
      <c r="A13" s="236" t="s">
        <v>693</v>
      </c>
      <c r="B13" s="235">
        <v>328.78109653999957</v>
      </c>
      <c r="C13" s="203">
        <f t="shared" si="0"/>
        <v>1.8995788885845206</v>
      </c>
      <c r="D13" s="235">
        <v>501.81128607999841</v>
      </c>
      <c r="E13" s="203">
        <f t="shared" si="1"/>
        <v>3.1210109565962298</v>
      </c>
      <c r="F13" s="235">
        <v>274.86375653999966</v>
      </c>
      <c r="G13" s="203">
        <f t="shared" si="2"/>
        <v>1.907153920713285</v>
      </c>
      <c r="H13" s="203">
        <f t="shared" si="3"/>
        <v>-45.225672645357548</v>
      </c>
      <c r="I13" s="200">
        <f t="shared" si="4"/>
        <v>-16.399160586606389</v>
      </c>
      <c r="J13" s="306"/>
      <c r="K13" s="306"/>
    </row>
    <row r="14" spans="1:12" ht="14.5" x14ac:dyDescent="0.35">
      <c r="A14" s="236" t="s">
        <v>570</v>
      </c>
      <c r="B14" s="235">
        <v>282.19805153999943</v>
      </c>
      <c r="C14" s="203">
        <f t="shared" si="0"/>
        <v>1.6304388139901846</v>
      </c>
      <c r="D14" s="235">
        <v>293.5187136699999</v>
      </c>
      <c r="E14" s="203">
        <f t="shared" si="1"/>
        <v>1.8255371027746496</v>
      </c>
      <c r="F14" s="235">
        <v>264.82890158999965</v>
      </c>
      <c r="G14" s="203">
        <f t="shared" si="2"/>
        <v>1.8375266508156747</v>
      </c>
      <c r="H14" s="203">
        <f t="shared" si="3"/>
        <v>-9.7744405190654753</v>
      </c>
      <c r="I14" s="200">
        <f t="shared" si="4"/>
        <v>-6.154950346118115</v>
      </c>
      <c r="J14" s="306"/>
      <c r="K14" s="306"/>
    </row>
    <row r="15" spans="1:12" ht="14.5" x14ac:dyDescent="0.35">
      <c r="A15" s="236" t="s">
        <v>604</v>
      </c>
      <c r="B15" s="235">
        <v>713.60211202999994</v>
      </c>
      <c r="C15" s="203">
        <f t="shared" si="0"/>
        <v>4.1229362670995231</v>
      </c>
      <c r="D15" s="235">
        <v>624.22312619999877</v>
      </c>
      <c r="E15" s="203">
        <f t="shared" si="1"/>
        <v>3.8823503382113356</v>
      </c>
      <c r="F15" s="235">
        <v>254.61976199</v>
      </c>
      <c r="G15" s="203">
        <f t="shared" si="2"/>
        <v>1.766690099426204</v>
      </c>
      <c r="H15" s="203">
        <f t="shared" si="3"/>
        <v>-59.210136359411216</v>
      </c>
      <c r="I15" s="200">
        <f t="shared" si="4"/>
        <v>-64.319085145967762</v>
      </c>
      <c r="J15" s="306"/>
      <c r="K15" s="306"/>
    </row>
    <row r="16" spans="1:12" ht="14.5" x14ac:dyDescent="0.35">
      <c r="A16" s="236" t="s">
        <v>500</v>
      </c>
      <c r="B16" s="235">
        <v>355.17515190609964</v>
      </c>
      <c r="C16" s="203">
        <f t="shared" si="0"/>
        <v>2.052074244568209</v>
      </c>
      <c r="D16" s="235">
        <v>221.41177823999939</v>
      </c>
      <c r="E16" s="203">
        <f t="shared" si="1"/>
        <v>1.3770686410913633</v>
      </c>
      <c r="F16" s="235">
        <v>249.24208646999998</v>
      </c>
      <c r="G16" s="203">
        <f t="shared" si="2"/>
        <v>1.7293768680224146</v>
      </c>
      <c r="H16" s="203">
        <f t="shared" si="3"/>
        <v>12.569479569345177</v>
      </c>
      <c r="I16" s="200">
        <f t="shared" si="4"/>
        <v>-29.82558460736746</v>
      </c>
      <c r="J16" s="306"/>
      <c r="K16" s="306"/>
    </row>
    <row r="17" spans="1:12" ht="14.5" x14ac:dyDescent="0.35">
      <c r="A17" s="236" t="s">
        <v>612</v>
      </c>
      <c r="B17" s="235">
        <v>338.65092121999874</v>
      </c>
      <c r="C17" s="203">
        <f t="shared" si="0"/>
        <v>1.9566031846692435</v>
      </c>
      <c r="D17" s="235">
        <v>183.70385815999992</v>
      </c>
      <c r="E17" s="203">
        <f t="shared" si="1"/>
        <v>1.1425445580651163</v>
      </c>
      <c r="F17" s="235">
        <v>245.96992266999973</v>
      </c>
      <c r="G17" s="203">
        <f t="shared" si="2"/>
        <v>1.706672819664266</v>
      </c>
      <c r="H17" s="203">
        <f t="shared" si="3"/>
        <v>33.894805005003306</v>
      </c>
      <c r="I17" s="200">
        <f t="shared" si="4"/>
        <v>-27.367708971856118</v>
      </c>
      <c r="J17" s="306"/>
      <c r="K17" s="306"/>
    </row>
    <row r="18" spans="1:12" ht="14.5" x14ac:dyDescent="0.35">
      <c r="A18" s="236" t="s">
        <v>478</v>
      </c>
      <c r="B18" s="235">
        <v>6.7566449999999889E-2</v>
      </c>
      <c r="C18" s="203">
        <f t="shared" si="0"/>
        <v>3.9037463937950748E-4</v>
      </c>
      <c r="D18" s="235">
        <v>52.04160203</v>
      </c>
      <c r="E18" s="203">
        <f t="shared" si="1"/>
        <v>0.32367229402759445</v>
      </c>
      <c r="F18" s="235">
        <v>205.5923976</v>
      </c>
      <c r="G18" s="203">
        <f t="shared" si="2"/>
        <v>1.426511636482799</v>
      </c>
      <c r="H18" s="203">
        <f t="shared" si="3"/>
        <v>295.05393681286716</v>
      </c>
      <c r="I18" s="200">
        <f t="shared" si="4"/>
        <v>304181.78126866271</v>
      </c>
      <c r="J18" s="306"/>
      <c r="K18" s="306"/>
    </row>
    <row r="19" spans="1:12" ht="14.5" x14ac:dyDescent="0.35">
      <c r="A19" s="236" t="s">
        <v>495</v>
      </c>
      <c r="B19" s="235">
        <v>194.71951506999969</v>
      </c>
      <c r="C19" s="203">
        <f t="shared" si="0"/>
        <v>1.1250193028582058</v>
      </c>
      <c r="D19" s="235">
        <v>201.32188063999962</v>
      </c>
      <c r="E19" s="203">
        <f t="shared" si="1"/>
        <v>1.2521196966060855</v>
      </c>
      <c r="F19" s="235">
        <v>194.9667066399997</v>
      </c>
      <c r="G19" s="203">
        <f t="shared" si="2"/>
        <v>1.3527848256811601</v>
      </c>
      <c r="H19" s="203">
        <f t="shared" si="3"/>
        <v>-3.1567229452640233</v>
      </c>
      <c r="I19" s="200">
        <f t="shared" si="4"/>
        <v>0.12694750698776236</v>
      </c>
      <c r="J19" s="306"/>
      <c r="K19" s="306"/>
    </row>
    <row r="20" spans="1:12" ht="14.5" x14ac:dyDescent="0.35">
      <c r="A20" s="236" t="s">
        <v>655</v>
      </c>
      <c r="B20" s="235">
        <v>197.14941109999958</v>
      </c>
      <c r="C20" s="203">
        <f t="shared" si="0"/>
        <v>1.1390583679036672</v>
      </c>
      <c r="D20" s="235">
        <v>181.07358526999977</v>
      </c>
      <c r="E20" s="203">
        <f t="shared" si="1"/>
        <v>1.1261855985593314</v>
      </c>
      <c r="F20" s="235">
        <v>191.25928300999973</v>
      </c>
      <c r="G20" s="203">
        <f t="shared" si="2"/>
        <v>1.3270607083922714</v>
      </c>
      <c r="H20" s="203">
        <f t="shared" si="3"/>
        <v>5.6251704105886091</v>
      </c>
      <c r="I20" s="200">
        <f t="shared" si="4"/>
        <v>-2.9876468091564412</v>
      </c>
      <c r="J20" s="306"/>
      <c r="K20" s="306"/>
    </row>
    <row r="21" spans="1:12" ht="14.5" x14ac:dyDescent="0.35">
      <c r="A21" s="236" t="s">
        <v>494</v>
      </c>
      <c r="B21" s="235">
        <v>188.60620170999991</v>
      </c>
      <c r="C21" s="203">
        <f t="shared" si="0"/>
        <v>1.0896987776815266</v>
      </c>
      <c r="D21" s="235">
        <v>245.42674442999999</v>
      </c>
      <c r="E21" s="203">
        <f t="shared" si="1"/>
        <v>1.5264295157476004</v>
      </c>
      <c r="F21" s="235">
        <v>182.64752968999969</v>
      </c>
      <c r="G21" s="203">
        <f t="shared" si="2"/>
        <v>1.2673076899688924</v>
      </c>
      <c r="H21" s="203">
        <f t="shared" si="3"/>
        <v>-25.579614351241187</v>
      </c>
      <c r="I21" s="200">
        <f t="shared" si="4"/>
        <v>-3.1593192408181037</v>
      </c>
      <c r="J21" s="306"/>
      <c r="K21" s="306"/>
    </row>
    <row r="22" spans="1:12" ht="14.5" x14ac:dyDescent="0.35">
      <c r="A22" s="236" t="s">
        <v>591</v>
      </c>
      <c r="B22" s="235">
        <v>116.44727080999995</v>
      </c>
      <c r="C22" s="203">
        <f t="shared" si="0"/>
        <v>0.67279043592169863</v>
      </c>
      <c r="D22" s="235">
        <v>246.02668361999977</v>
      </c>
      <c r="E22" s="203">
        <f t="shared" si="1"/>
        <v>1.5301608323545017</v>
      </c>
      <c r="F22" s="235">
        <v>168.38179122999969</v>
      </c>
      <c r="G22" s="203">
        <f t="shared" si="2"/>
        <v>1.1683242540356069</v>
      </c>
      <c r="H22" s="203">
        <f t="shared" si="3"/>
        <v>-31.559541122753345</v>
      </c>
      <c r="I22" s="200">
        <f t="shared" si="4"/>
        <v>44.599173564778695</v>
      </c>
      <c r="J22" s="306"/>
      <c r="K22" s="306"/>
      <c r="L22" s="307"/>
    </row>
    <row r="23" spans="1:12" ht="14.5" x14ac:dyDescent="0.35">
      <c r="A23" s="236" t="s">
        <v>542</v>
      </c>
      <c r="B23" s="235">
        <v>212.68628622999975</v>
      </c>
      <c r="C23" s="203">
        <f t="shared" si="0"/>
        <v>1.2288248426253414</v>
      </c>
      <c r="D23" s="235">
        <v>105.60939829999974</v>
      </c>
      <c r="E23" s="203">
        <f t="shared" si="1"/>
        <v>0.65683673993989955</v>
      </c>
      <c r="F23" s="235">
        <v>168.36211438999985</v>
      </c>
      <c r="G23" s="203">
        <f t="shared" si="2"/>
        <v>1.1681877254404025</v>
      </c>
      <c r="H23" s="203">
        <f t="shared" si="3"/>
        <v>59.419632248771428</v>
      </c>
      <c r="I23" s="200">
        <f t="shared" si="4"/>
        <v>-20.840164462727785</v>
      </c>
      <c r="J23" s="306"/>
      <c r="K23" s="306"/>
    </row>
    <row r="24" spans="1:12" ht="14.5" x14ac:dyDescent="0.35">
      <c r="A24" s="236" t="s">
        <v>518</v>
      </c>
      <c r="B24" s="235">
        <v>151.73809617999981</v>
      </c>
      <c r="C24" s="203">
        <f t="shared" si="0"/>
        <v>0.87668812815236763</v>
      </c>
      <c r="D24" s="235">
        <v>155.20326437999975</v>
      </c>
      <c r="E24" s="203">
        <f t="shared" si="1"/>
        <v>0.96528536138236498</v>
      </c>
      <c r="F24" s="235">
        <v>154.92646988999968</v>
      </c>
      <c r="G24" s="203">
        <f t="shared" si="2"/>
        <v>1.074963931921608</v>
      </c>
      <c r="H24" s="203">
        <f t="shared" si="3"/>
        <v>-0.17834321404630593</v>
      </c>
      <c r="I24" s="200">
        <f t="shared" si="4"/>
        <v>2.1012348185900809</v>
      </c>
      <c r="J24" s="306"/>
      <c r="K24" s="306"/>
    </row>
    <row r="25" spans="1:12" ht="14.5" x14ac:dyDescent="0.35">
      <c r="A25" s="236" t="s">
        <v>694</v>
      </c>
      <c r="B25" s="235">
        <v>159.5034642799996</v>
      </c>
      <c r="C25" s="203">
        <f t="shared" si="0"/>
        <v>0.92155363124874989</v>
      </c>
      <c r="D25" s="235">
        <v>140.12397656999968</v>
      </c>
      <c r="E25" s="203">
        <f t="shared" si="1"/>
        <v>0.87149986117905642</v>
      </c>
      <c r="F25" s="235">
        <v>153.4057310499999</v>
      </c>
      <c r="G25" s="203">
        <f t="shared" si="2"/>
        <v>1.0644122204933879</v>
      </c>
      <c r="H25" s="203">
        <f t="shared" si="3"/>
        <v>9.4785737638306564</v>
      </c>
      <c r="I25" s="200">
        <f t="shared" si="4"/>
        <v>-3.8229472052691338</v>
      </c>
      <c r="J25" s="306"/>
      <c r="K25" s="306"/>
    </row>
    <row r="26" spans="1:12" ht="14.5" x14ac:dyDescent="0.35">
      <c r="A26" s="236" t="s">
        <v>488</v>
      </c>
      <c r="B26" s="235">
        <v>152.92107928999971</v>
      </c>
      <c r="C26" s="203">
        <f t="shared" si="0"/>
        <v>0.8835229789541823</v>
      </c>
      <c r="D26" s="235">
        <v>188.26375713999934</v>
      </c>
      <c r="E26" s="203">
        <f t="shared" si="1"/>
        <v>1.1709048103598034</v>
      </c>
      <c r="F26" s="235">
        <v>149.41024720999951</v>
      </c>
      <c r="G26" s="203">
        <f t="shared" si="2"/>
        <v>1.036689385127517</v>
      </c>
      <c r="H26" s="203">
        <f t="shared" si="3"/>
        <v>-20.63780651158844</v>
      </c>
      <c r="I26" s="200">
        <f t="shared" si="4"/>
        <v>-2.2958457370957031</v>
      </c>
      <c r="J26" s="306"/>
      <c r="K26" s="306"/>
    </row>
    <row r="27" spans="1:12" ht="14.5" x14ac:dyDescent="0.35">
      <c r="A27" s="236" t="s">
        <v>701</v>
      </c>
      <c r="B27" s="235">
        <v>140.99057824999889</v>
      </c>
      <c r="C27" s="203">
        <f t="shared" si="0"/>
        <v>0.81459283624123568</v>
      </c>
      <c r="D27" s="235">
        <v>148.10287356000001</v>
      </c>
      <c r="E27" s="203">
        <f t="shared" si="1"/>
        <v>0.92112454204638516</v>
      </c>
      <c r="F27" s="235">
        <v>148.82537063999894</v>
      </c>
      <c r="G27" s="203">
        <f t="shared" si="2"/>
        <v>1.0326311940525956</v>
      </c>
      <c r="H27" s="203">
        <f t="shared" si="3"/>
        <v>0.48783461294978903</v>
      </c>
      <c r="I27" s="200">
        <f t="shared" si="4"/>
        <v>5.5569616688199597</v>
      </c>
      <c r="J27" s="306"/>
      <c r="K27" s="306"/>
    </row>
    <row r="28" spans="1:12" ht="14.5" x14ac:dyDescent="0.35">
      <c r="A28" s="236" t="s">
        <v>504</v>
      </c>
      <c r="B28" s="235">
        <v>174.5809509099995</v>
      </c>
      <c r="C28" s="203">
        <f t="shared" si="0"/>
        <v>1.0086659244939267</v>
      </c>
      <c r="D28" s="235">
        <v>131.21795059999977</v>
      </c>
      <c r="E28" s="203">
        <f t="shared" si="1"/>
        <v>0.8161089096338392</v>
      </c>
      <c r="F28" s="235">
        <v>146.04947595999954</v>
      </c>
      <c r="G28" s="203">
        <f t="shared" si="2"/>
        <v>1.0133705301910161</v>
      </c>
      <c r="H28" s="203">
        <f t="shared" si="3"/>
        <v>11.302969824008047</v>
      </c>
      <c r="I28" s="200">
        <f t="shared" si="4"/>
        <v>-16.342833969731664</v>
      </c>
      <c r="J28" s="306"/>
      <c r="K28" s="306"/>
    </row>
    <row r="29" spans="1:12" ht="14.5" x14ac:dyDescent="0.35">
      <c r="A29" s="236" t="s">
        <v>608</v>
      </c>
      <c r="B29" s="235">
        <v>138.25931381999982</v>
      </c>
      <c r="C29" s="203">
        <f t="shared" si="0"/>
        <v>0.79881257300539954</v>
      </c>
      <c r="D29" s="235">
        <v>105.52857891999989</v>
      </c>
      <c r="E29" s="203">
        <f t="shared" si="1"/>
        <v>0.65633408450451602</v>
      </c>
      <c r="F29" s="235">
        <v>137.63871671999945</v>
      </c>
      <c r="G29" s="203">
        <f t="shared" si="2"/>
        <v>0.95501211778094863</v>
      </c>
      <c r="H29" s="203">
        <f t="shared" si="3"/>
        <v>30.4279069505351</v>
      </c>
      <c r="I29" s="200">
        <f t="shared" si="4"/>
        <v>-0.44886458847056554</v>
      </c>
      <c r="J29" s="306"/>
      <c r="K29" s="306"/>
    </row>
    <row r="30" spans="1:12" ht="14.5" x14ac:dyDescent="0.35">
      <c r="A30" s="236" t="s">
        <v>482</v>
      </c>
      <c r="B30" s="235">
        <v>59.584201870000037</v>
      </c>
      <c r="C30" s="203">
        <f t="shared" si="0"/>
        <v>0.34425608149780074</v>
      </c>
      <c r="D30" s="235">
        <v>82.989155349999947</v>
      </c>
      <c r="E30" s="203">
        <f t="shared" si="1"/>
        <v>0.51615033442018921</v>
      </c>
      <c r="F30" s="235">
        <v>134.31195619999988</v>
      </c>
      <c r="G30" s="203">
        <f t="shared" si="2"/>
        <v>0.93192924774796182</v>
      </c>
      <c r="H30" s="203">
        <f t="shared" si="3"/>
        <v>61.842780100062768</v>
      </c>
      <c r="I30" s="200">
        <f t="shared" si="4"/>
        <v>125.41538190448503</v>
      </c>
      <c r="J30" s="306"/>
      <c r="K30" s="306"/>
    </row>
    <row r="31" spans="1:12" ht="14.5" x14ac:dyDescent="0.35">
      <c r="A31" s="236" t="s">
        <v>527</v>
      </c>
      <c r="B31" s="235">
        <v>135.14389455999975</v>
      </c>
      <c r="C31" s="203">
        <f t="shared" si="0"/>
        <v>0.78081280137112685</v>
      </c>
      <c r="D31" s="235">
        <v>142.21527617999962</v>
      </c>
      <c r="E31" s="203">
        <f t="shared" si="1"/>
        <v>0.88450668102825103</v>
      </c>
      <c r="F31" s="235">
        <v>129.49468603999986</v>
      </c>
      <c r="G31" s="203">
        <f t="shared" si="2"/>
        <v>0.89850441288275762</v>
      </c>
      <c r="H31" s="203">
        <f t="shared" si="3"/>
        <v>-8.9446017908086812</v>
      </c>
      <c r="I31" s="200">
        <f t="shared" si="4"/>
        <v>-4.1801433489781603</v>
      </c>
      <c r="J31" s="306"/>
      <c r="K31" s="306"/>
    </row>
    <row r="32" spans="1:12" ht="14.5" x14ac:dyDescent="0.35">
      <c r="A32" s="236" t="s">
        <v>571</v>
      </c>
      <c r="B32" s="235">
        <v>81.51344404999989</v>
      </c>
      <c r="C32" s="203">
        <f t="shared" si="0"/>
        <v>0.47095535322042847</v>
      </c>
      <c r="D32" s="235">
        <v>84.848893029999999</v>
      </c>
      <c r="E32" s="203">
        <f t="shared" si="1"/>
        <v>0.52771695684715014</v>
      </c>
      <c r="F32" s="235">
        <v>128.24139571999888</v>
      </c>
      <c r="G32" s="203">
        <f t="shared" si="2"/>
        <v>0.88980840443962905</v>
      </c>
      <c r="H32" s="203">
        <f t="shared" si="3"/>
        <v>51.140917860480052</v>
      </c>
      <c r="I32" s="200">
        <f t="shared" si="4"/>
        <v>57.325453751330045</v>
      </c>
      <c r="J32" s="306"/>
      <c r="K32" s="306"/>
    </row>
    <row r="33" spans="1:11" ht="14.5" x14ac:dyDescent="0.35">
      <c r="A33" s="236" t="s">
        <v>705</v>
      </c>
      <c r="B33" s="235">
        <v>154.06007030999984</v>
      </c>
      <c r="C33" s="203">
        <f t="shared" si="0"/>
        <v>0.8901036592872329</v>
      </c>
      <c r="D33" s="235">
        <v>152.81037208999965</v>
      </c>
      <c r="E33" s="203">
        <f t="shared" si="1"/>
        <v>0.95040278846658877</v>
      </c>
      <c r="F33" s="235">
        <v>120.93790405999974</v>
      </c>
      <c r="G33" s="203">
        <f t="shared" si="2"/>
        <v>0.83913281545109997</v>
      </c>
      <c r="H33" s="203">
        <f t="shared" si="3"/>
        <v>-20.857529233178106</v>
      </c>
      <c r="I33" s="200">
        <f t="shared" si="4"/>
        <v>-21.499513912561273</v>
      </c>
      <c r="J33" s="306"/>
      <c r="K33" s="306"/>
    </row>
    <row r="34" spans="1:11" ht="14.5" x14ac:dyDescent="0.35">
      <c r="A34" s="236" t="s">
        <v>624</v>
      </c>
      <c r="B34" s="235">
        <v>129.27465134999969</v>
      </c>
      <c r="C34" s="203">
        <f t="shared" si="0"/>
        <v>0.74690242571080423</v>
      </c>
      <c r="D34" s="235">
        <v>108.29455920999972</v>
      </c>
      <c r="E34" s="203">
        <f t="shared" si="1"/>
        <v>0.67353707501167348</v>
      </c>
      <c r="F34" s="235">
        <v>119.11644242999975</v>
      </c>
      <c r="G34" s="203">
        <f t="shared" si="2"/>
        <v>0.82649452609344953</v>
      </c>
      <c r="H34" s="203">
        <f t="shared" si="3"/>
        <v>9.9930073116736509</v>
      </c>
      <c r="I34" s="200">
        <f t="shared" si="4"/>
        <v>-7.8578505638336456</v>
      </c>
      <c r="J34" s="306"/>
      <c r="K34" s="306"/>
    </row>
    <row r="35" spans="1:11" ht="14.5" x14ac:dyDescent="0.35">
      <c r="A35" s="236" t="s">
        <v>695</v>
      </c>
      <c r="B35" s="235">
        <v>155.39502996999985</v>
      </c>
      <c r="C35" s="203">
        <f t="shared" si="0"/>
        <v>0.89781657591758257</v>
      </c>
      <c r="D35" s="235">
        <v>104.56306470999986</v>
      </c>
      <c r="E35" s="203">
        <f t="shared" si="1"/>
        <v>0.65032907722040512</v>
      </c>
      <c r="F35" s="235">
        <v>109.37048151999997</v>
      </c>
      <c r="G35" s="203">
        <f t="shared" si="2"/>
        <v>0.758871759837908</v>
      </c>
      <c r="H35" s="203">
        <f t="shared" si="3"/>
        <v>4.597624240771081</v>
      </c>
      <c r="I35" s="200">
        <f t="shared" si="4"/>
        <v>-29.617773785226763</v>
      </c>
      <c r="J35" s="306"/>
      <c r="K35" s="306"/>
    </row>
    <row r="36" spans="1:11" ht="14.5" x14ac:dyDescent="0.35">
      <c r="A36" s="236" t="s">
        <v>546</v>
      </c>
      <c r="B36" s="235">
        <v>83.135396179999873</v>
      </c>
      <c r="C36" s="203">
        <f t="shared" si="0"/>
        <v>0.48032640908971819</v>
      </c>
      <c r="D36" s="235">
        <v>71.812907369999792</v>
      </c>
      <c r="E36" s="203">
        <f t="shared" si="1"/>
        <v>0.44663975670541023</v>
      </c>
      <c r="F36" s="235">
        <v>107.26498387999978</v>
      </c>
      <c r="G36" s="203">
        <f t="shared" si="2"/>
        <v>0.74426267448694572</v>
      </c>
      <c r="H36" s="203">
        <f t="shared" si="3"/>
        <v>49.367276452603662</v>
      </c>
      <c r="I36" s="200">
        <f t="shared" si="4"/>
        <v>29.024445433273627</v>
      </c>
      <c r="J36" s="306"/>
      <c r="K36" s="306"/>
    </row>
    <row r="37" spans="1:11" ht="14.5" x14ac:dyDescent="0.35">
      <c r="A37" s="236" t="s">
        <v>548</v>
      </c>
      <c r="B37" s="235">
        <v>67.278894069999978</v>
      </c>
      <c r="C37" s="203">
        <f t="shared" si="0"/>
        <v>0.38871324467140672</v>
      </c>
      <c r="D37" s="235">
        <v>221.51846679999989</v>
      </c>
      <c r="E37" s="203">
        <f t="shared" si="1"/>
        <v>1.3777321896681722</v>
      </c>
      <c r="F37" s="235">
        <v>105.99599295999987</v>
      </c>
      <c r="G37" s="203">
        <f t="shared" si="2"/>
        <v>0.73545772675977905</v>
      </c>
      <c r="H37" s="203">
        <f t="shared" si="3"/>
        <v>-52.150267880059232</v>
      </c>
      <c r="I37" s="200">
        <f t="shared" si="4"/>
        <v>57.547169027060519</v>
      </c>
      <c r="J37" s="306"/>
      <c r="K37" s="306"/>
    </row>
    <row r="38" spans="1:11" ht="14.5" x14ac:dyDescent="0.35">
      <c r="A38" s="236" t="s">
        <v>553</v>
      </c>
      <c r="B38" s="235">
        <v>101.39608403999995</v>
      </c>
      <c r="C38" s="203">
        <f t="shared" si="0"/>
        <v>0.58583009380556894</v>
      </c>
      <c r="D38" s="235">
        <v>78.493046279999945</v>
      </c>
      <c r="E38" s="203">
        <f t="shared" si="1"/>
        <v>0.4881868229194043</v>
      </c>
      <c r="F38" s="235">
        <v>98.858519769999972</v>
      </c>
      <c r="G38" s="203">
        <f t="shared" si="2"/>
        <v>0.6859340640199324</v>
      </c>
      <c r="H38" s="203">
        <f t="shared" si="3"/>
        <v>25.945576653188397</v>
      </c>
      <c r="I38" s="200">
        <f t="shared" si="4"/>
        <v>-2.5026255146095466</v>
      </c>
      <c r="J38" s="306"/>
      <c r="K38" s="306"/>
    </row>
    <row r="39" spans="1:11" ht="14.5" x14ac:dyDescent="0.35">
      <c r="A39" s="236" t="s">
        <v>722</v>
      </c>
      <c r="B39" s="235">
        <v>65.462806049999955</v>
      </c>
      <c r="C39" s="203">
        <f t="shared" si="0"/>
        <v>0.37822054147493933</v>
      </c>
      <c r="D39" s="235">
        <v>109.7106269999999</v>
      </c>
      <c r="E39" s="203">
        <f t="shared" si="1"/>
        <v>0.68234429639243976</v>
      </c>
      <c r="F39" s="235">
        <v>98.37277892999974</v>
      </c>
      <c r="G39" s="203">
        <f t="shared" si="2"/>
        <v>0.6825637304440606</v>
      </c>
      <c r="H39" s="203">
        <f t="shared" si="3"/>
        <v>-10.334320730844215</v>
      </c>
      <c r="I39" s="200">
        <f t="shared" si="4"/>
        <v>50.272780630368061</v>
      </c>
      <c r="J39" s="306"/>
      <c r="K39" s="306"/>
    </row>
    <row r="40" spans="1:11" ht="14.5" x14ac:dyDescent="0.35">
      <c r="A40" s="236" t="s">
        <v>968</v>
      </c>
      <c r="B40" s="235">
        <v>51.588393109999963</v>
      </c>
      <c r="C40" s="203">
        <f t="shared" si="0"/>
        <v>0.29805917517472852</v>
      </c>
      <c r="D40" s="235">
        <v>152.65231538999984</v>
      </c>
      <c r="E40" s="203">
        <f t="shared" si="1"/>
        <v>0.94941975618703134</v>
      </c>
      <c r="F40" s="235">
        <v>98.306146439999864</v>
      </c>
      <c r="G40" s="203">
        <f t="shared" si="2"/>
        <v>0.68210139806474002</v>
      </c>
      <c r="H40" s="203">
        <f t="shared" si="3"/>
        <v>-35.601273921823626</v>
      </c>
      <c r="I40" s="200">
        <f t="shared" si="4"/>
        <v>90.55865188587174</v>
      </c>
      <c r="J40" s="306"/>
      <c r="K40" s="306"/>
    </row>
    <row r="41" spans="1:11" ht="14.5" x14ac:dyDescent="0.35">
      <c r="A41" s="236" t="s">
        <v>709</v>
      </c>
      <c r="B41" s="235">
        <v>171.28437947999998</v>
      </c>
      <c r="C41" s="203">
        <f t="shared" si="0"/>
        <v>0.98961952079542159</v>
      </c>
      <c r="D41" s="235">
        <v>116.27783896</v>
      </c>
      <c r="E41" s="203">
        <f t="shared" si="1"/>
        <v>0.7231890144169415</v>
      </c>
      <c r="F41" s="235">
        <v>95.818201439999996</v>
      </c>
      <c r="G41" s="203">
        <f t="shared" si="2"/>
        <v>0.66483868536300827</v>
      </c>
      <c r="H41" s="203">
        <f t="shared" si="3"/>
        <v>-17.595474514312393</v>
      </c>
      <c r="I41" s="200">
        <f t="shared" si="4"/>
        <v>-44.058996079564736</v>
      </c>
      <c r="J41" s="306"/>
      <c r="K41" s="306"/>
    </row>
    <row r="42" spans="1:11" ht="14.5" x14ac:dyDescent="0.35">
      <c r="A42" s="236" t="s">
        <v>506</v>
      </c>
      <c r="B42" s="235">
        <v>94.61239306999984</v>
      </c>
      <c r="C42" s="203">
        <f t="shared" si="0"/>
        <v>0.54663636798342163</v>
      </c>
      <c r="D42" s="235">
        <v>120.41652442999992</v>
      </c>
      <c r="E42" s="203">
        <f t="shared" si="1"/>
        <v>0.74892953292675468</v>
      </c>
      <c r="F42" s="235">
        <v>94.959463279999852</v>
      </c>
      <c r="G42" s="203">
        <f t="shared" si="2"/>
        <v>0.65888029394274084</v>
      </c>
      <c r="H42" s="203">
        <f t="shared" si="3"/>
        <v>-21.140836999326183</v>
      </c>
      <c r="I42" s="200">
        <f t="shared" si="4"/>
        <v>0.36683377170603215</v>
      </c>
      <c r="J42" s="306"/>
      <c r="K42" s="306"/>
    </row>
    <row r="43" spans="1:11" ht="14.5" x14ac:dyDescent="0.35">
      <c r="A43" s="236" t="s">
        <v>517</v>
      </c>
      <c r="B43" s="235">
        <v>76.23379327999983</v>
      </c>
      <c r="C43" s="203">
        <f t="shared" si="0"/>
        <v>0.44045143055779762</v>
      </c>
      <c r="D43" s="235">
        <v>70.437048209999759</v>
      </c>
      <c r="E43" s="203">
        <f t="shared" si="1"/>
        <v>0.43808261255140479</v>
      </c>
      <c r="F43" s="235">
        <v>91.918615969999749</v>
      </c>
      <c r="G43" s="203">
        <f t="shared" si="2"/>
        <v>0.63778124493548038</v>
      </c>
      <c r="H43" s="203">
        <f t="shared" si="3"/>
        <v>30.49754114618095</v>
      </c>
      <c r="I43" s="200">
        <f t="shared" si="4"/>
        <v>20.574632344990352</v>
      </c>
      <c r="J43" s="306"/>
      <c r="K43" s="306"/>
    </row>
    <row r="44" spans="1:11" ht="14.5" x14ac:dyDescent="0.35">
      <c r="A44" s="236" t="s">
        <v>490</v>
      </c>
      <c r="B44" s="235">
        <v>77.894802049999853</v>
      </c>
      <c r="C44" s="203">
        <f t="shared" si="0"/>
        <v>0.45004814164140428</v>
      </c>
      <c r="D44" s="235">
        <v>67.289354099999898</v>
      </c>
      <c r="E44" s="203">
        <f t="shared" si="1"/>
        <v>0.41850555623992747</v>
      </c>
      <c r="F44" s="235">
        <v>91.598018769999953</v>
      </c>
      <c r="G44" s="203">
        <f t="shared" si="2"/>
        <v>0.63555676756295965</v>
      </c>
      <c r="H44" s="203">
        <f t="shared" si="3"/>
        <v>36.125572900988942</v>
      </c>
      <c r="I44" s="200">
        <f t="shared" si="4"/>
        <v>17.591952684088152</v>
      </c>
      <c r="J44" s="306"/>
      <c r="K44" s="306"/>
    </row>
    <row r="45" spans="1:11" ht="14.5" x14ac:dyDescent="0.35">
      <c r="A45" s="236" t="s">
        <v>965</v>
      </c>
      <c r="B45" s="235">
        <v>93.66260560999973</v>
      </c>
      <c r="C45" s="203">
        <f t="shared" si="0"/>
        <v>0.54114883774933764</v>
      </c>
      <c r="D45" s="235">
        <v>108.56534286999985</v>
      </c>
      <c r="E45" s="203">
        <f t="shared" si="1"/>
        <v>0.67522121164464854</v>
      </c>
      <c r="F45" s="235">
        <v>89.230549009999933</v>
      </c>
      <c r="G45" s="203">
        <f t="shared" si="2"/>
        <v>0.61912997746232623</v>
      </c>
      <c r="H45" s="203">
        <f t="shared" si="3"/>
        <v>-17.809361025232629</v>
      </c>
      <c r="I45" s="200">
        <f t="shared" si="4"/>
        <v>-4.7319381850792874</v>
      </c>
      <c r="J45" s="306"/>
      <c r="K45" s="306"/>
    </row>
    <row r="46" spans="1:11" ht="14.5" x14ac:dyDescent="0.35">
      <c r="A46" s="236" t="s">
        <v>647</v>
      </c>
      <c r="B46" s="235">
        <v>68.384232799999879</v>
      </c>
      <c r="C46" s="203">
        <f t="shared" si="0"/>
        <v>0.39509949418008911</v>
      </c>
      <c r="D46" s="235">
        <v>78.234742509999862</v>
      </c>
      <c r="E46" s="203">
        <f t="shared" si="1"/>
        <v>0.48658030485442033</v>
      </c>
      <c r="F46" s="235">
        <v>86.584498389999794</v>
      </c>
      <c r="G46" s="203">
        <f t="shared" si="2"/>
        <v>0.6007702421597757</v>
      </c>
      <c r="H46" s="203">
        <f t="shared" si="3"/>
        <v>10.672695546908306</v>
      </c>
      <c r="I46" s="200">
        <f t="shared" si="4"/>
        <v>26.614710503851626</v>
      </c>
      <c r="J46" s="306"/>
      <c r="K46" s="306"/>
    </row>
    <row r="47" spans="1:11" ht="14.5" x14ac:dyDescent="0.35">
      <c r="A47" s="236" t="s">
        <v>544</v>
      </c>
      <c r="B47" s="235">
        <v>83.224889679999919</v>
      </c>
      <c r="C47" s="203">
        <f t="shared" si="0"/>
        <v>0.48084347033519315</v>
      </c>
      <c r="D47" s="235">
        <v>89.335299649999698</v>
      </c>
      <c r="E47" s="203">
        <f t="shared" si="1"/>
        <v>0.55562012404401684</v>
      </c>
      <c r="F47" s="235">
        <v>86.036505509999813</v>
      </c>
      <c r="G47" s="203">
        <f t="shared" si="2"/>
        <v>0.59696797014410219</v>
      </c>
      <c r="H47" s="203">
        <f t="shared" si="3"/>
        <v>-3.6925987296443696</v>
      </c>
      <c r="I47" s="200">
        <f t="shared" si="4"/>
        <v>3.3783353042708297</v>
      </c>
      <c r="J47" s="306"/>
      <c r="K47" s="306"/>
    </row>
    <row r="48" spans="1:11" ht="14.5" x14ac:dyDescent="0.35">
      <c r="A48" s="236" t="s">
        <v>576</v>
      </c>
      <c r="B48" s="235">
        <v>47.651844409999903</v>
      </c>
      <c r="C48" s="203">
        <f t="shared" si="0"/>
        <v>0.27531521305799167</v>
      </c>
      <c r="D48" s="235">
        <v>61.249473009999889</v>
      </c>
      <c r="E48" s="203">
        <f t="shared" si="1"/>
        <v>0.38094056800364601</v>
      </c>
      <c r="F48" s="235">
        <v>85.285158139999936</v>
      </c>
      <c r="G48" s="203">
        <f t="shared" si="2"/>
        <v>0.59175471430946347</v>
      </c>
      <c r="H48" s="203">
        <f t="shared" si="3"/>
        <v>39.242272543432108</v>
      </c>
      <c r="I48" s="200">
        <f t="shared" si="4"/>
        <v>78.975565785450598</v>
      </c>
      <c r="J48" s="306"/>
      <c r="K48" s="306"/>
    </row>
    <row r="49" spans="1:11" ht="14.5" x14ac:dyDescent="0.35">
      <c r="A49" s="236" t="s">
        <v>966</v>
      </c>
      <c r="B49" s="235">
        <v>45.548416599999889</v>
      </c>
      <c r="C49" s="203">
        <f t="shared" si="0"/>
        <v>0.2631623639325813</v>
      </c>
      <c r="D49" s="235">
        <v>92.84696722999999</v>
      </c>
      <c r="E49" s="203">
        <f t="shared" si="1"/>
        <v>0.57746091020632229</v>
      </c>
      <c r="F49" s="235">
        <v>85.056312410000004</v>
      </c>
      <c r="G49" s="203">
        <f t="shared" si="2"/>
        <v>0.59016685843242145</v>
      </c>
      <c r="H49" s="203">
        <f t="shared" si="3"/>
        <v>-8.3908554607939116</v>
      </c>
      <c r="I49" s="200">
        <f t="shared" si="4"/>
        <v>86.738241983147674</v>
      </c>
      <c r="J49" s="306"/>
      <c r="K49" s="306"/>
    </row>
    <row r="50" spans="1:11" ht="14.5" x14ac:dyDescent="0.35">
      <c r="A50" s="236" t="s">
        <v>498</v>
      </c>
      <c r="B50" s="235">
        <v>113.14025122999973</v>
      </c>
      <c r="C50" s="203">
        <f t="shared" si="0"/>
        <v>0.65368366657147292</v>
      </c>
      <c r="D50" s="235">
        <v>100.89984592999978</v>
      </c>
      <c r="E50" s="203">
        <f t="shared" si="1"/>
        <v>0.62754571967956529</v>
      </c>
      <c r="F50" s="235">
        <v>84.818158269999842</v>
      </c>
      <c r="G50" s="203">
        <f t="shared" si="2"/>
        <v>0.58851441575480967</v>
      </c>
      <c r="H50" s="203">
        <f t="shared" si="3"/>
        <v>-15.938267805836659</v>
      </c>
      <c r="I50" s="200">
        <f t="shared" si="4"/>
        <v>-25.032729423964849</v>
      </c>
      <c r="J50" s="306"/>
      <c r="K50" s="306"/>
    </row>
    <row r="51" spans="1:11" ht="14.5" x14ac:dyDescent="0.35">
      <c r="A51" s="236" t="s">
        <v>484</v>
      </c>
      <c r="B51" s="235">
        <v>114.48776138000001</v>
      </c>
      <c r="C51" s="203">
        <f t="shared" si="0"/>
        <v>0.6614690954176915</v>
      </c>
      <c r="D51" s="235">
        <v>92.048299009999624</v>
      </c>
      <c r="E51" s="203">
        <f t="shared" si="1"/>
        <v>0.57249360011495665</v>
      </c>
      <c r="F51" s="235">
        <v>82.753036580000028</v>
      </c>
      <c r="G51" s="203">
        <f t="shared" si="2"/>
        <v>0.57418548065834107</v>
      </c>
      <c r="H51" s="203">
        <f t="shared" si="3"/>
        <v>-10.098244649789578</v>
      </c>
      <c r="I51" s="200">
        <f t="shared" si="4"/>
        <v>-27.718879657947227</v>
      </c>
      <c r="J51" s="306"/>
      <c r="K51" s="306"/>
    </row>
    <row r="52" spans="1:11" ht="14.5" x14ac:dyDescent="0.35">
      <c r="A52" s="236" t="s">
        <v>967</v>
      </c>
      <c r="B52" s="235">
        <v>76.387594009999859</v>
      </c>
      <c r="C52" s="203">
        <f t="shared" si="0"/>
        <v>0.44134003584207798</v>
      </c>
      <c r="D52" s="235">
        <v>76.765752759999842</v>
      </c>
      <c r="E52" s="203">
        <f t="shared" si="1"/>
        <v>0.4774439358008421</v>
      </c>
      <c r="F52" s="235">
        <v>81.217352159999876</v>
      </c>
      <c r="G52" s="203">
        <f t="shared" si="2"/>
        <v>0.56353006868460798</v>
      </c>
      <c r="H52" s="203">
        <f t="shared" si="3"/>
        <v>5.7989392925221539</v>
      </c>
      <c r="I52" s="200">
        <f t="shared" si="4"/>
        <v>6.3226996642514521</v>
      </c>
      <c r="J52" s="306"/>
      <c r="K52" s="306"/>
    </row>
    <row r="53" spans="1:11" ht="14.5" x14ac:dyDescent="0.35">
      <c r="A53" s="236" t="s">
        <v>690</v>
      </c>
      <c r="B53" s="235">
        <v>76.75596913999992</v>
      </c>
      <c r="C53" s="203">
        <f t="shared" si="0"/>
        <v>0.44346837481105078</v>
      </c>
      <c r="D53" s="235">
        <v>49.643215199999851</v>
      </c>
      <c r="E53" s="203">
        <f t="shared" si="1"/>
        <v>0.3087555478677777</v>
      </c>
      <c r="F53" s="235">
        <v>76.915165529999669</v>
      </c>
      <c r="G53" s="203">
        <f t="shared" si="2"/>
        <v>0.53367916290376094</v>
      </c>
      <c r="H53" s="203">
        <f t="shared" si="3"/>
        <v>54.935906588902618</v>
      </c>
      <c r="I53" s="200">
        <f t="shared" si="4"/>
        <v>0.20740587576892899</v>
      </c>
      <c r="J53" s="306"/>
      <c r="K53" s="306"/>
    </row>
    <row r="54" spans="1:11" ht="14.5" x14ac:dyDescent="0.35">
      <c r="A54" s="236" t="s">
        <v>525</v>
      </c>
      <c r="B54" s="235">
        <v>185.7972836499998</v>
      </c>
      <c r="C54" s="203">
        <f t="shared" si="0"/>
        <v>1.0734698597093801</v>
      </c>
      <c r="D54" s="235">
        <v>107.6911651999998</v>
      </c>
      <c r="E54" s="203">
        <f t="shared" si="1"/>
        <v>0.66978427118164152</v>
      </c>
      <c r="F54" s="235">
        <v>76.870858639999923</v>
      </c>
      <c r="G54" s="203">
        <f t="shared" si="2"/>
        <v>0.53337173765409795</v>
      </c>
      <c r="H54" s="203">
        <f t="shared" si="3"/>
        <v>-28.619159708005405</v>
      </c>
      <c r="I54" s="200">
        <f t="shared" si="4"/>
        <v>-58.626489510574707</v>
      </c>
      <c r="J54" s="306"/>
      <c r="K54" s="306"/>
    </row>
    <row r="55" spans="1:11" ht="14.5" x14ac:dyDescent="0.35">
      <c r="A55" s="236" t="s">
        <v>496</v>
      </c>
      <c r="B55" s="235">
        <v>66.795614349999781</v>
      </c>
      <c r="C55" s="203">
        <f t="shared" si="0"/>
        <v>0.38592102832121361</v>
      </c>
      <c r="D55" s="235">
        <v>68.883237599999816</v>
      </c>
      <c r="E55" s="203">
        <f t="shared" si="1"/>
        <v>0.4284187008921676</v>
      </c>
      <c r="F55" s="235">
        <v>76.52777707999995</v>
      </c>
      <c r="G55" s="203">
        <f t="shared" si="2"/>
        <v>0.53099125158887472</v>
      </c>
      <c r="H55" s="203">
        <f t="shared" si="3"/>
        <v>11.09782255647076</v>
      </c>
      <c r="I55" s="200">
        <f t="shared" si="4"/>
        <v>14.570062458000589</v>
      </c>
      <c r="J55" s="306"/>
      <c r="K55" s="306"/>
    </row>
    <row r="56" spans="1:11" ht="14.5" x14ac:dyDescent="0.35">
      <c r="A56" s="236" t="s">
        <v>560</v>
      </c>
      <c r="B56" s="235">
        <v>86.515883109999862</v>
      </c>
      <c r="C56" s="203">
        <f t="shared" si="0"/>
        <v>0.49985764635652569</v>
      </c>
      <c r="D56" s="235">
        <v>98.922632179999908</v>
      </c>
      <c r="E56" s="203">
        <f t="shared" si="1"/>
        <v>0.61524845585059162</v>
      </c>
      <c r="F56" s="235">
        <v>75.767341429999817</v>
      </c>
      <c r="G56" s="203">
        <f t="shared" si="2"/>
        <v>0.52571493633507793</v>
      </c>
      <c r="H56" s="203">
        <f t="shared" si="3"/>
        <v>-23.407475356970544</v>
      </c>
      <c r="I56" s="200">
        <f t="shared" si="4"/>
        <v>-12.423778494330229</v>
      </c>
      <c r="J56" s="306"/>
      <c r="K56" s="306"/>
    </row>
    <row r="57" spans="1:11" ht="14.5" x14ac:dyDescent="0.35">
      <c r="A57" s="236" t="s">
        <v>511</v>
      </c>
      <c r="B57" s="235">
        <v>60.790469639999991</v>
      </c>
      <c r="C57" s="203">
        <f t="shared" si="0"/>
        <v>0.35122546268785665</v>
      </c>
      <c r="D57" s="235">
        <v>69.395937609999933</v>
      </c>
      <c r="E57" s="203">
        <f t="shared" si="1"/>
        <v>0.43160743417307329</v>
      </c>
      <c r="F57" s="235">
        <v>71.340088090000009</v>
      </c>
      <c r="G57" s="203">
        <f t="shared" si="2"/>
        <v>0.4949962498423286</v>
      </c>
      <c r="H57" s="203">
        <f t="shared" si="3"/>
        <v>2.8015335579527179</v>
      </c>
      <c r="I57" s="200">
        <f t="shared" si="4"/>
        <v>17.354066373355327</v>
      </c>
      <c r="J57" s="306"/>
      <c r="K57" s="306"/>
    </row>
    <row r="58" spans="1:11" ht="14.5" x14ac:dyDescent="0.35">
      <c r="A58" s="236" t="s">
        <v>514</v>
      </c>
      <c r="B58" s="235">
        <v>312.90662684999995</v>
      </c>
      <c r="C58" s="203">
        <f t="shared" si="0"/>
        <v>1.807861913953257</v>
      </c>
      <c r="D58" s="235">
        <v>67.739375759999874</v>
      </c>
      <c r="E58" s="203">
        <f t="shared" si="1"/>
        <v>0.42130446206473909</v>
      </c>
      <c r="F58" s="235">
        <v>70.20355436999985</v>
      </c>
      <c r="G58" s="203">
        <f t="shared" si="2"/>
        <v>0.48711036205775365</v>
      </c>
      <c r="H58" s="203">
        <f t="shared" si="3"/>
        <v>3.6377344526033806</v>
      </c>
      <c r="I58" s="200">
        <f t="shared" si="4"/>
        <v>-77.564056384253647</v>
      </c>
      <c r="J58" s="306"/>
      <c r="K58" s="306"/>
    </row>
    <row r="59" spans="1:11" ht="14.5" x14ac:dyDescent="0.35">
      <c r="A59" s="236" t="s">
        <v>584</v>
      </c>
      <c r="B59" s="235">
        <v>66.490158199999868</v>
      </c>
      <c r="C59" s="203">
        <f t="shared" si="0"/>
        <v>0.38415621258200472</v>
      </c>
      <c r="D59" s="235">
        <v>80.219863249999833</v>
      </c>
      <c r="E59" s="203">
        <f t="shared" si="1"/>
        <v>0.49892674613935911</v>
      </c>
      <c r="F59" s="235">
        <v>69.634681909999841</v>
      </c>
      <c r="G59" s="203">
        <f t="shared" si="2"/>
        <v>0.48316321618398711</v>
      </c>
      <c r="H59" s="203">
        <f t="shared" si="3"/>
        <v>-13.195212396475897</v>
      </c>
      <c r="I59" s="200">
        <f t="shared" si="4"/>
        <v>4.7293070059201359</v>
      </c>
      <c r="J59" s="306"/>
      <c r="K59" s="306"/>
    </row>
    <row r="60" spans="1:11" ht="14.5" x14ac:dyDescent="0.35">
      <c r="A60" s="236" t="s">
        <v>559</v>
      </c>
      <c r="B60" s="235">
        <v>73.937104919999811</v>
      </c>
      <c r="C60" s="203">
        <f t="shared" si="0"/>
        <v>0.42718199150480429</v>
      </c>
      <c r="D60" s="235">
        <v>160.55910148999973</v>
      </c>
      <c r="E60" s="203">
        <f t="shared" si="1"/>
        <v>0.99859594399726004</v>
      </c>
      <c r="F60" s="235">
        <v>69.311496699999893</v>
      </c>
      <c r="G60" s="203">
        <f t="shared" si="2"/>
        <v>0.48092078179348485</v>
      </c>
      <c r="H60" s="203">
        <f t="shared" si="3"/>
        <v>-56.831163069060345</v>
      </c>
      <c r="I60" s="200">
        <f t="shared" si="4"/>
        <v>-6.2561392213082208</v>
      </c>
      <c r="J60" s="306"/>
      <c r="K60" s="306"/>
    </row>
    <row r="61" spans="1:11" ht="14.5" x14ac:dyDescent="0.35">
      <c r="A61" s="236" t="s">
        <v>667</v>
      </c>
      <c r="B61" s="235">
        <v>46.597981239999982</v>
      </c>
      <c r="C61" s="203">
        <f t="shared" si="0"/>
        <v>0.26922637081536882</v>
      </c>
      <c r="D61" s="235">
        <v>143.37565276999993</v>
      </c>
      <c r="E61" s="203">
        <f t="shared" si="1"/>
        <v>0.89172363320056902</v>
      </c>
      <c r="F61" s="235">
        <v>69.291279299999857</v>
      </c>
      <c r="G61" s="203">
        <f t="shared" si="2"/>
        <v>0.48078050249961918</v>
      </c>
      <c r="H61" s="203">
        <f t="shared" si="3"/>
        <v>-51.671516075916045</v>
      </c>
      <c r="I61" s="200">
        <f t="shared" si="4"/>
        <v>48.700174248149231</v>
      </c>
      <c r="J61" s="306"/>
      <c r="K61" s="306"/>
    </row>
    <row r="62" spans="1:11" ht="14.5" x14ac:dyDescent="0.35">
      <c r="A62" s="236" t="s">
        <v>969</v>
      </c>
      <c r="B62" s="235">
        <v>65.828379229999854</v>
      </c>
      <c r="C62" s="203">
        <f t="shared" si="0"/>
        <v>0.38033269178488283</v>
      </c>
      <c r="D62" s="235">
        <v>54.942466559999978</v>
      </c>
      <c r="E62" s="203">
        <f t="shared" si="1"/>
        <v>0.34171419589962215</v>
      </c>
      <c r="F62" s="235">
        <v>60.41388841999985</v>
      </c>
      <c r="G62" s="203">
        <f t="shared" si="2"/>
        <v>0.41918434651449005</v>
      </c>
      <c r="H62" s="203">
        <f t="shared" si="3"/>
        <v>9.9584569142428201</v>
      </c>
      <c r="I62" s="200">
        <f t="shared" si="4"/>
        <v>-8.2251619640856468</v>
      </c>
      <c r="J62" s="306"/>
      <c r="K62" s="306"/>
    </row>
    <row r="63" spans="1:11" ht="14.5" x14ac:dyDescent="0.35">
      <c r="A63" s="236" t="s">
        <v>497</v>
      </c>
      <c r="B63" s="235">
        <v>58.962781539999632</v>
      </c>
      <c r="C63" s="203">
        <f t="shared" si="0"/>
        <v>0.34066573840256631</v>
      </c>
      <c r="D63" s="235">
        <v>44.957018039999859</v>
      </c>
      <c r="E63" s="203">
        <f t="shared" si="1"/>
        <v>0.27960978513417806</v>
      </c>
      <c r="F63" s="235">
        <v>59.445401989999837</v>
      </c>
      <c r="G63" s="203">
        <f t="shared" si="2"/>
        <v>0.41246446203287285</v>
      </c>
      <c r="H63" s="203">
        <f t="shared" si="3"/>
        <v>32.227190729396568</v>
      </c>
      <c r="I63" s="200">
        <f t="shared" si="4"/>
        <v>0.81851710077958106</v>
      </c>
      <c r="J63" s="306"/>
      <c r="K63" s="306"/>
    </row>
    <row r="64" spans="1:11" ht="14.5" x14ac:dyDescent="0.35">
      <c r="A64" s="236" t="s">
        <v>483</v>
      </c>
      <c r="B64" s="235">
        <v>55.617549719999893</v>
      </c>
      <c r="C64" s="203">
        <f t="shared" si="0"/>
        <v>0.3213381924774325</v>
      </c>
      <c r="D64" s="235">
        <v>75.281142569999886</v>
      </c>
      <c r="E64" s="203">
        <f t="shared" si="1"/>
        <v>0.46821041555569237</v>
      </c>
      <c r="F64" s="235">
        <v>58.667066879999929</v>
      </c>
      <c r="G64" s="203">
        <f t="shared" si="2"/>
        <v>0.4070639506109564</v>
      </c>
      <c r="H64" s="203">
        <f t="shared" si="3"/>
        <v>-22.06937238572252</v>
      </c>
      <c r="I64" s="200">
        <f t="shared" si="4"/>
        <v>5.483012422072675</v>
      </c>
      <c r="J64" s="306"/>
      <c r="K64" s="306"/>
    </row>
    <row r="65" spans="1:11" ht="14.5" x14ac:dyDescent="0.35">
      <c r="A65" s="236" t="s">
        <v>700</v>
      </c>
      <c r="B65" s="235">
        <v>46.218573599999907</v>
      </c>
      <c r="C65" s="203">
        <f t="shared" si="0"/>
        <v>0.2670342899728374</v>
      </c>
      <c r="D65" s="235">
        <v>49.767401289999981</v>
      </c>
      <c r="E65" s="203">
        <f t="shared" si="1"/>
        <v>0.3095279221811873</v>
      </c>
      <c r="F65" s="235">
        <v>56.886698389999985</v>
      </c>
      <c r="G65" s="203">
        <f t="shared" si="2"/>
        <v>0.39471078776126051</v>
      </c>
      <c r="H65" s="203">
        <f t="shared" si="3"/>
        <v>14.305141348480488</v>
      </c>
      <c r="I65" s="200">
        <f t="shared" si="4"/>
        <v>23.081899675934835</v>
      </c>
      <c r="J65" s="306"/>
      <c r="K65" s="306"/>
    </row>
    <row r="66" spans="1:11" ht="14.5" x14ac:dyDescent="0.35">
      <c r="A66" s="236" t="s">
        <v>563</v>
      </c>
      <c r="B66" s="235">
        <v>54.740355759999836</v>
      </c>
      <c r="C66" s="203">
        <f t="shared" si="0"/>
        <v>0.31627008136902141</v>
      </c>
      <c r="D66" s="235">
        <v>63.920726409999858</v>
      </c>
      <c r="E66" s="203">
        <f t="shared" si="1"/>
        <v>0.39755440543717824</v>
      </c>
      <c r="F66" s="235">
        <v>56.509708219999979</v>
      </c>
      <c r="G66" s="203">
        <f t="shared" si="2"/>
        <v>0.39209502535650981</v>
      </c>
      <c r="H66" s="203">
        <f t="shared" si="3"/>
        <v>-11.594076923444485</v>
      </c>
      <c r="I66" s="200">
        <f t="shared" si="4"/>
        <v>3.232263355681475</v>
      </c>
      <c r="J66" s="306"/>
      <c r="K66" s="306"/>
    </row>
    <row r="67" spans="1:11" ht="14.5" x14ac:dyDescent="0.35">
      <c r="A67" s="236" t="s">
        <v>607</v>
      </c>
      <c r="B67" s="235">
        <v>67.361710139999872</v>
      </c>
      <c r="C67" s="203">
        <f t="shared" si="0"/>
        <v>0.38919172612871339</v>
      </c>
      <c r="D67" s="235">
        <v>61.173445439999995</v>
      </c>
      <c r="E67" s="203">
        <f t="shared" si="1"/>
        <v>0.38046771518914152</v>
      </c>
      <c r="F67" s="235">
        <v>56.453083929999863</v>
      </c>
      <c r="G67" s="203">
        <f t="shared" si="2"/>
        <v>0.39170213530057546</v>
      </c>
      <c r="H67" s="203">
        <f t="shared" si="3"/>
        <v>-7.7163571154904904</v>
      </c>
      <c r="I67" s="200">
        <f t="shared" si="4"/>
        <v>-16.194105208030319</v>
      </c>
      <c r="J67" s="306"/>
      <c r="K67" s="306"/>
    </row>
    <row r="68" spans="1:11" ht="14.5" x14ac:dyDescent="0.35">
      <c r="A68" s="236" t="s">
        <v>537</v>
      </c>
      <c r="B68" s="235">
        <v>62.947624299999987</v>
      </c>
      <c r="C68" s="203">
        <f t="shared" ref="C68:C131" si="5">(B68/$B$258)*100</f>
        <v>0.3636887262229887</v>
      </c>
      <c r="D68" s="235">
        <v>76.95577903999984</v>
      </c>
      <c r="E68" s="203">
        <f t="shared" ref="E68:E131" si="6">(D68/$D$258)*100</f>
        <v>0.47862580260689613</v>
      </c>
      <c r="F68" s="235">
        <v>55.056528559999975</v>
      </c>
      <c r="G68" s="203">
        <f t="shared" ref="G68:G131" si="7">(F68/$F$258)*100</f>
        <v>0.38201207618577587</v>
      </c>
      <c r="H68" s="203">
        <f t="shared" ref="H68:H131" si="8">((F68/D68)-1)*100</f>
        <v>-28.456927800857091</v>
      </c>
      <c r="I68" s="200">
        <f t="shared" ref="I68:I131" si="9">((F68/B68)-1)*100</f>
        <v>-12.535970702233501</v>
      </c>
      <c r="J68" s="306"/>
      <c r="K68" s="306"/>
    </row>
    <row r="69" spans="1:11" ht="14.5" x14ac:dyDescent="0.35">
      <c r="A69" s="236" t="s">
        <v>719</v>
      </c>
      <c r="B69" s="235">
        <v>86.296351019999861</v>
      </c>
      <c r="C69" s="203">
        <f t="shared" si="5"/>
        <v>0.49858926892266642</v>
      </c>
      <c r="D69" s="235">
        <v>62.951583899999839</v>
      </c>
      <c r="E69" s="203">
        <f t="shared" si="6"/>
        <v>0.39152683197257698</v>
      </c>
      <c r="F69" s="235">
        <v>54.845475129999954</v>
      </c>
      <c r="G69" s="203">
        <f t="shared" si="7"/>
        <v>0.38054767294261516</v>
      </c>
      <c r="H69" s="203">
        <f t="shared" si="8"/>
        <v>-12.876735211105473</v>
      </c>
      <c r="I69" s="200">
        <f t="shared" si="9"/>
        <v>-36.445197877151173</v>
      </c>
      <c r="J69" s="306"/>
      <c r="K69" s="306"/>
    </row>
    <row r="70" spans="1:11" ht="14.5" x14ac:dyDescent="0.35">
      <c r="A70" s="236" t="s">
        <v>556</v>
      </c>
      <c r="B70" s="235">
        <v>64.817114839999888</v>
      </c>
      <c r="C70" s="203">
        <f t="shared" si="5"/>
        <v>0.37448996996712308</v>
      </c>
      <c r="D70" s="235">
        <v>80.680324049999925</v>
      </c>
      <c r="E70" s="203">
        <f t="shared" si="6"/>
        <v>0.50179057810517558</v>
      </c>
      <c r="F70" s="235">
        <v>53.286259189999925</v>
      </c>
      <c r="G70" s="203">
        <f t="shared" si="7"/>
        <v>0.36972898651177255</v>
      </c>
      <c r="H70" s="203">
        <f t="shared" si="8"/>
        <v>-33.953835935293355</v>
      </c>
      <c r="I70" s="200">
        <f t="shared" si="9"/>
        <v>-17.789831711059211</v>
      </c>
      <c r="J70" s="306"/>
      <c r="K70" s="306"/>
    </row>
    <row r="71" spans="1:11" ht="14.5" x14ac:dyDescent="0.35">
      <c r="A71" s="236" t="s">
        <v>599</v>
      </c>
      <c r="B71" s="235">
        <v>44.783097979999866</v>
      </c>
      <c r="C71" s="203">
        <f t="shared" si="5"/>
        <v>0.25874062828873834</v>
      </c>
      <c r="D71" s="235">
        <v>50.184106939999921</v>
      </c>
      <c r="E71" s="203">
        <f t="shared" si="6"/>
        <v>0.31211961936975557</v>
      </c>
      <c r="F71" s="235">
        <v>52.241211939999957</v>
      </c>
      <c r="G71" s="203">
        <f t="shared" si="7"/>
        <v>0.3624778815088544</v>
      </c>
      <c r="H71" s="203">
        <f t="shared" si="8"/>
        <v>4.0991164841480687</v>
      </c>
      <c r="I71" s="200">
        <f t="shared" si="9"/>
        <v>16.653858925371544</v>
      </c>
      <c r="J71" s="306"/>
      <c r="K71" s="306"/>
    </row>
    <row r="72" spans="1:11" ht="14.5" x14ac:dyDescent="0.35">
      <c r="A72" s="236" t="s">
        <v>574</v>
      </c>
      <c r="B72" s="235">
        <v>24.88691563999997</v>
      </c>
      <c r="C72" s="203">
        <f t="shared" si="5"/>
        <v>0.14378764487749807</v>
      </c>
      <c r="D72" s="235">
        <v>74.205141539999943</v>
      </c>
      <c r="E72" s="203">
        <f t="shared" si="6"/>
        <v>0.46151823644953477</v>
      </c>
      <c r="F72" s="235">
        <v>50.576893539999944</v>
      </c>
      <c r="G72" s="203">
        <f t="shared" si="7"/>
        <v>0.35092993716787912</v>
      </c>
      <c r="H72" s="203">
        <f t="shared" si="8"/>
        <v>-31.841793586854493</v>
      </c>
      <c r="I72" s="200">
        <f t="shared" si="9"/>
        <v>103.22684526928386</v>
      </c>
      <c r="J72" s="306"/>
      <c r="K72" s="306"/>
    </row>
    <row r="73" spans="1:11" ht="14.5" x14ac:dyDescent="0.35">
      <c r="A73" s="236" t="s">
        <v>515</v>
      </c>
      <c r="B73" s="235">
        <v>86.586647849999864</v>
      </c>
      <c r="C73" s="203">
        <f t="shared" si="5"/>
        <v>0.50026649956486036</v>
      </c>
      <c r="D73" s="235">
        <v>59.254811879999899</v>
      </c>
      <c r="E73" s="203">
        <f t="shared" si="6"/>
        <v>0.36853479034556014</v>
      </c>
      <c r="F73" s="235">
        <v>49.554303439999892</v>
      </c>
      <c r="G73" s="203">
        <f t="shared" si="7"/>
        <v>0.3438346520599137</v>
      </c>
      <c r="H73" s="203">
        <f t="shared" si="8"/>
        <v>-16.370836616011918</v>
      </c>
      <c r="I73" s="200">
        <f t="shared" si="9"/>
        <v>-42.769116635804764</v>
      </c>
      <c r="J73" s="306"/>
      <c r="K73" s="306"/>
    </row>
    <row r="74" spans="1:11" ht="14.5" x14ac:dyDescent="0.35">
      <c r="A74" s="236" t="s">
        <v>583</v>
      </c>
      <c r="B74" s="235">
        <v>39.418456959999965</v>
      </c>
      <c r="C74" s="203">
        <f t="shared" si="5"/>
        <v>0.2277456625389768</v>
      </c>
      <c r="D74" s="235">
        <v>55.375519209999879</v>
      </c>
      <c r="E74" s="203">
        <f t="shared" si="6"/>
        <v>0.34440756311340226</v>
      </c>
      <c r="F74" s="235">
        <v>49.154394299999979</v>
      </c>
      <c r="G74" s="203">
        <f t="shared" si="7"/>
        <v>0.34105986540240502</v>
      </c>
      <c r="H74" s="203">
        <f t="shared" si="8"/>
        <v>-11.234431746648921</v>
      </c>
      <c r="I74" s="200">
        <f t="shared" si="9"/>
        <v>24.698930630084259</v>
      </c>
      <c r="J74" s="306"/>
      <c r="K74" s="306"/>
    </row>
    <row r="75" spans="1:11" ht="14.5" x14ac:dyDescent="0.35">
      <c r="A75" s="236" t="s">
        <v>493</v>
      </c>
      <c r="B75" s="235">
        <v>48.589591049999981</v>
      </c>
      <c r="C75" s="203">
        <f t="shared" si="5"/>
        <v>0.28073317576610163</v>
      </c>
      <c r="D75" s="235">
        <v>44.385360179999964</v>
      </c>
      <c r="E75" s="203">
        <f t="shared" si="6"/>
        <v>0.27605436401477423</v>
      </c>
      <c r="F75" s="235">
        <v>48.620046369999905</v>
      </c>
      <c r="G75" s="203">
        <f t="shared" si="7"/>
        <v>0.33735226945540586</v>
      </c>
      <c r="H75" s="203">
        <f t="shared" si="8"/>
        <v>9.5407273317748</v>
      </c>
      <c r="I75" s="200">
        <f t="shared" si="9"/>
        <v>6.2678691756401506E-2</v>
      </c>
      <c r="J75" s="306"/>
      <c r="K75" s="306"/>
    </row>
    <row r="76" spans="1:11" ht="14.5" x14ac:dyDescent="0.35">
      <c r="A76" s="236" t="s">
        <v>635</v>
      </c>
      <c r="B76" s="235">
        <v>61.235055429999768</v>
      </c>
      <c r="C76" s="203">
        <f t="shared" si="5"/>
        <v>0.35379411943161659</v>
      </c>
      <c r="D76" s="235">
        <v>40.066376980000001</v>
      </c>
      <c r="E76" s="203">
        <f t="shared" si="6"/>
        <v>0.24919248533154742</v>
      </c>
      <c r="F76" s="235">
        <v>48.585038029999964</v>
      </c>
      <c r="G76" s="203">
        <f t="shared" si="7"/>
        <v>0.33710936259227842</v>
      </c>
      <c r="H76" s="203">
        <f t="shared" si="8"/>
        <v>21.261370985083673</v>
      </c>
      <c r="I76" s="200">
        <f t="shared" si="9"/>
        <v>-20.658130071361725</v>
      </c>
      <c r="J76" s="306"/>
      <c r="K76" s="306"/>
    </row>
    <row r="77" spans="1:11" ht="14.5" x14ac:dyDescent="0.35">
      <c r="A77" s="236" t="s">
        <v>630</v>
      </c>
      <c r="B77" s="235">
        <v>32.799368169999966</v>
      </c>
      <c r="C77" s="203">
        <f t="shared" si="5"/>
        <v>0.18950294889311861</v>
      </c>
      <c r="D77" s="235">
        <v>48.28156791999988</v>
      </c>
      <c r="E77" s="203">
        <f t="shared" si="6"/>
        <v>0.30028679437859873</v>
      </c>
      <c r="F77" s="235">
        <v>48.408540459999969</v>
      </c>
      <c r="G77" s="203">
        <f t="shared" si="7"/>
        <v>0.33588472666042951</v>
      </c>
      <c r="H77" s="203">
        <f t="shared" si="8"/>
        <v>0.26298346443611731</v>
      </c>
      <c r="I77" s="200">
        <f t="shared" si="9"/>
        <v>47.589856637168324</v>
      </c>
      <c r="J77" s="306"/>
      <c r="K77" s="306"/>
    </row>
    <row r="78" spans="1:11" ht="14.5" x14ac:dyDescent="0.35">
      <c r="A78" s="236" t="s">
        <v>621</v>
      </c>
      <c r="B78" s="235">
        <v>55.258189839999893</v>
      </c>
      <c r="C78" s="203">
        <f t="shared" si="5"/>
        <v>0.3192619403794984</v>
      </c>
      <c r="D78" s="235">
        <v>51.018269849999903</v>
      </c>
      <c r="E78" s="203">
        <f t="shared" si="6"/>
        <v>0.31730768837879159</v>
      </c>
      <c r="F78" s="235">
        <v>48.006700349999932</v>
      </c>
      <c r="G78" s="203">
        <f t="shared" si="7"/>
        <v>0.33309654188505733</v>
      </c>
      <c r="H78" s="203">
        <f t="shared" si="8"/>
        <v>-5.9029236170774935</v>
      </c>
      <c r="I78" s="200">
        <f t="shared" si="9"/>
        <v>-13.122922612913401</v>
      </c>
      <c r="J78" s="306"/>
      <c r="K78" s="306"/>
    </row>
    <row r="79" spans="1:11" ht="14.5" x14ac:dyDescent="0.35">
      <c r="A79" s="236" t="s">
        <v>636</v>
      </c>
      <c r="B79" s="235">
        <v>89.312183109999893</v>
      </c>
      <c r="C79" s="203">
        <f t="shared" si="5"/>
        <v>0.51601366171765439</v>
      </c>
      <c r="D79" s="235">
        <v>42.667036099999933</v>
      </c>
      <c r="E79" s="203">
        <f t="shared" si="6"/>
        <v>0.26536726225076912</v>
      </c>
      <c r="F79" s="235">
        <v>46.658341879999988</v>
      </c>
      <c r="G79" s="203">
        <f t="shared" si="7"/>
        <v>0.32374089902054193</v>
      </c>
      <c r="H79" s="203">
        <f t="shared" si="8"/>
        <v>9.3545419246968908</v>
      </c>
      <c r="I79" s="200">
        <f t="shared" si="9"/>
        <v>-47.758144236006409</v>
      </c>
      <c r="J79" s="306"/>
      <c r="K79" s="306"/>
    </row>
    <row r="80" spans="1:11" ht="14.5" x14ac:dyDescent="0.35">
      <c r="A80" s="236" t="s">
        <v>726</v>
      </c>
      <c r="B80" s="235">
        <v>45.962473889999856</v>
      </c>
      <c r="C80" s="203">
        <f t="shared" si="5"/>
        <v>0.26555463798673379</v>
      </c>
      <c r="D80" s="235">
        <v>50.014850199999955</v>
      </c>
      <c r="E80" s="203">
        <f t="shared" si="6"/>
        <v>0.31106692853821971</v>
      </c>
      <c r="F80" s="235">
        <v>46.378525329999945</v>
      </c>
      <c r="G80" s="203">
        <f t="shared" si="7"/>
        <v>0.32179937993075464</v>
      </c>
      <c r="H80" s="203">
        <f t="shared" si="8"/>
        <v>-7.2704903752766059</v>
      </c>
      <c r="I80" s="200">
        <f t="shared" si="9"/>
        <v>0.90519809920546201</v>
      </c>
      <c r="J80" s="306"/>
      <c r="K80" s="306"/>
    </row>
    <row r="81" spans="1:11" ht="14.5" x14ac:dyDescent="0.35">
      <c r="A81" s="236" t="s">
        <v>727</v>
      </c>
      <c r="B81" s="235">
        <v>49.468640299999855</v>
      </c>
      <c r="C81" s="203">
        <f t="shared" si="5"/>
        <v>0.28581200607264473</v>
      </c>
      <c r="D81" s="235">
        <v>50.899572029999959</v>
      </c>
      <c r="E81" s="203">
        <f t="shared" si="6"/>
        <v>0.31656944831321271</v>
      </c>
      <c r="F81" s="235">
        <v>45.625094309999902</v>
      </c>
      <c r="G81" s="203">
        <f t="shared" si="7"/>
        <v>0.31657166660154751</v>
      </c>
      <c r="H81" s="203">
        <f t="shared" si="8"/>
        <v>-10.362518798569276</v>
      </c>
      <c r="I81" s="200">
        <f t="shared" si="9"/>
        <v>-7.7696616820089996</v>
      </c>
      <c r="J81" s="306"/>
      <c r="K81" s="306"/>
    </row>
    <row r="82" spans="1:11" ht="14.5" x14ac:dyDescent="0.35">
      <c r="A82" s="236" t="s">
        <v>539</v>
      </c>
      <c r="B82" s="235">
        <v>69.524333630000001</v>
      </c>
      <c r="C82" s="203">
        <f t="shared" si="5"/>
        <v>0.40168658659603779</v>
      </c>
      <c r="D82" s="235">
        <v>49.374545179999998</v>
      </c>
      <c r="E82" s="203">
        <f t="shared" si="6"/>
        <v>0.30708455700051607</v>
      </c>
      <c r="F82" s="235">
        <v>44.928937279999886</v>
      </c>
      <c r="G82" s="203">
        <f t="shared" si="7"/>
        <v>0.31174135129948832</v>
      </c>
      <c r="H82" s="203">
        <f t="shared" si="8"/>
        <v>-9.0038457747675267</v>
      </c>
      <c r="I82" s="200">
        <f t="shared" si="9"/>
        <v>-35.376673267943573</v>
      </c>
      <c r="J82" s="306"/>
      <c r="K82" s="306"/>
    </row>
    <row r="83" spans="1:11" ht="14.5" x14ac:dyDescent="0.35">
      <c r="A83" s="236" t="s">
        <v>582</v>
      </c>
      <c r="B83" s="235">
        <v>46.05262278999998</v>
      </c>
      <c r="C83" s="203">
        <f t="shared" si="5"/>
        <v>0.26607548589761276</v>
      </c>
      <c r="D83" s="235">
        <v>63.90838622999977</v>
      </c>
      <c r="E83" s="203">
        <f t="shared" si="6"/>
        <v>0.39747765579432448</v>
      </c>
      <c r="F83" s="235">
        <v>42.276335820000021</v>
      </c>
      <c r="G83" s="203">
        <f t="shared" si="7"/>
        <v>0.2933361627136577</v>
      </c>
      <c r="H83" s="203">
        <f t="shared" si="8"/>
        <v>-33.848531759428568</v>
      </c>
      <c r="I83" s="200">
        <f t="shared" si="9"/>
        <v>-8.1999389854945584</v>
      </c>
      <c r="J83" s="306"/>
      <c r="K83" s="306"/>
    </row>
    <row r="84" spans="1:11" ht="14.5" x14ac:dyDescent="0.35">
      <c r="A84" s="236" t="s">
        <v>581</v>
      </c>
      <c r="B84" s="235">
        <v>56.038825569999943</v>
      </c>
      <c r="C84" s="203">
        <f t="shared" si="5"/>
        <v>0.323772172774208</v>
      </c>
      <c r="D84" s="235">
        <v>57.37892315999995</v>
      </c>
      <c r="E84" s="203">
        <f t="shared" si="6"/>
        <v>0.35686771666491401</v>
      </c>
      <c r="F84" s="235">
        <v>42.166375809999941</v>
      </c>
      <c r="G84" s="203">
        <f t="shared" si="7"/>
        <v>0.29257320048526797</v>
      </c>
      <c r="H84" s="203">
        <f t="shared" si="8"/>
        <v>-26.512430893100124</v>
      </c>
      <c r="I84" s="200">
        <f t="shared" si="9"/>
        <v>-24.755068684784387</v>
      </c>
      <c r="J84" s="306"/>
      <c r="K84" s="306"/>
    </row>
    <row r="85" spans="1:11" ht="14.5" x14ac:dyDescent="0.35">
      <c r="A85" s="236" t="s">
        <v>522</v>
      </c>
      <c r="B85" s="235">
        <v>38.892023789999953</v>
      </c>
      <c r="C85" s="203">
        <f t="shared" si="5"/>
        <v>0.22470412108021781</v>
      </c>
      <c r="D85" s="235">
        <v>45.17561723999998</v>
      </c>
      <c r="E85" s="203">
        <f t="shared" si="6"/>
        <v>0.28096936096921571</v>
      </c>
      <c r="F85" s="235">
        <v>41.229846259999952</v>
      </c>
      <c r="G85" s="203">
        <f t="shared" si="7"/>
        <v>0.28607505018116847</v>
      </c>
      <c r="H85" s="203">
        <f t="shared" si="8"/>
        <v>-8.7342934553339298</v>
      </c>
      <c r="I85" s="200">
        <f t="shared" si="9"/>
        <v>6.0110589323487673</v>
      </c>
      <c r="J85" s="306"/>
      <c r="K85" s="306"/>
    </row>
    <row r="86" spans="1:11" ht="14.5" x14ac:dyDescent="0.35">
      <c r="A86" s="236" t="s">
        <v>697</v>
      </c>
      <c r="B86" s="235">
        <v>33.559891579999977</v>
      </c>
      <c r="C86" s="203">
        <f t="shared" si="5"/>
        <v>0.19389697953877824</v>
      </c>
      <c r="D86" s="235">
        <v>38.439002659999886</v>
      </c>
      <c r="E86" s="203">
        <f t="shared" si="6"/>
        <v>0.23907104481377875</v>
      </c>
      <c r="F86" s="235">
        <v>40.973244339999887</v>
      </c>
      <c r="G86" s="203">
        <f t="shared" si="7"/>
        <v>0.2842946067936844</v>
      </c>
      <c r="H86" s="203">
        <f t="shared" si="8"/>
        <v>6.5928913463646266</v>
      </c>
      <c r="I86" s="200">
        <f t="shared" si="9"/>
        <v>22.089918682627395</v>
      </c>
      <c r="J86" s="306"/>
      <c r="K86" s="306"/>
    </row>
    <row r="87" spans="1:11" ht="14.5" x14ac:dyDescent="0.35">
      <c r="A87" s="236" t="s">
        <v>717</v>
      </c>
      <c r="B87" s="235">
        <v>33.855748949999992</v>
      </c>
      <c r="C87" s="203">
        <f t="shared" si="5"/>
        <v>0.19560633698054888</v>
      </c>
      <c r="D87" s="235">
        <v>31.577897679999992</v>
      </c>
      <c r="E87" s="203">
        <f t="shared" si="6"/>
        <v>0.19639846169151937</v>
      </c>
      <c r="F87" s="235">
        <v>39.039566099999881</v>
      </c>
      <c r="G87" s="203">
        <f t="shared" si="7"/>
        <v>0.27087769769211173</v>
      </c>
      <c r="H87" s="203">
        <f t="shared" si="8"/>
        <v>23.629402107809639</v>
      </c>
      <c r="I87" s="200">
        <f t="shared" si="9"/>
        <v>15.311482719391712</v>
      </c>
      <c r="J87" s="306"/>
      <c r="K87" s="306"/>
    </row>
    <row r="88" spans="1:11" ht="14.5" x14ac:dyDescent="0.35">
      <c r="A88" s="236" t="s">
        <v>627</v>
      </c>
      <c r="B88" s="235">
        <v>34.84727201999997</v>
      </c>
      <c r="C88" s="203">
        <f t="shared" si="5"/>
        <v>0.20133500055378242</v>
      </c>
      <c r="D88" s="235">
        <v>35.988077929999982</v>
      </c>
      <c r="E88" s="203">
        <f t="shared" si="6"/>
        <v>0.22382753963900098</v>
      </c>
      <c r="F88" s="235">
        <v>38.361162569999948</v>
      </c>
      <c r="G88" s="203">
        <f t="shared" si="7"/>
        <v>0.26617056580847676</v>
      </c>
      <c r="H88" s="203">
        <f t="shared" si="8"/>
        <v>6.5940855319248426</v>
      </c>
      <c r="I88" s="200">
        <f t="shared" si="9"/>
        <v>10.083689041665146</v>
      </c>
      <c r="J88" s="306"/>
      <c r="K88" s="306"/>
    </row>
    <row r="89" spans="1:11" ht="14.5" x14ac:dyDescent="0.35">
      <c r="A89" s="236" t="s">
        <v>629</v>
      </c>
      <c r="B89" s="235">
        <v>48.687550429999966</v>
      </c>
      <c r="C89" s="203">
        <f t="shared" si="5"/>
        <v>0.28129914982040427</v>
      </c>
      <c r="D89" s="235">
        <v>35.966580739999934</v>
      </c>
      <c r="E89" s="203">
        <f t="shared" si="6"/>
        <v>0.2236938380515969</v>
      </c>
      <c r="F89" s="235">
        <v>37.817532169999936</v>
      </c>
      <c r="G89" s="203">
        <f t="shared" si="7"/>
        <v>0.26239856304670822</v>
      </c>
      <c r="H89" s="203">
        <f t="shared" si="8"/>
        <v>5.1463091345279821</v>
      </c>
      <c r="I89" s="200">
        <f t="shared" si="9"/>
        <v>-22.326073429445358</v>
      </c>
      <c r="J89" s="306"/>
      <c r="K89" s="306"/>
    </row>
    <row r="90" spans="1:11" ht="14.5" x14ac:dyDescent="0.35">
      <c r="A90" s="236" t="s">
        <v>970</v>
      </c>
      <c r="B90" s="235">
        <v>42.797966609999982</v>
      </c>
      <c r="C90" s="203">
        <f t="shared" si="5"/>
        <v>0.24727125343354536</v>
      </c>
      <c r="D90" s="235">
        <v>27.209677829999919</v>
      </c>
      <c r="E90" s="203">
        <f t="shared" si="6"/>
        <v>0.16923035608917156</v>
      </c>
      <c r="F90" s="235">
        <v>36.686092219999864</v>
      </c>
      <c r="G90" s="203">
        <f t="shared" si="7"/>
        <v>0.25454801860295484</v>
      </c>
      <c r="H90" s="203">
        <f t="shared" si="8"/>
        <v>34.827367119914101</v>
      </c>
      <c r="I90" s="200">
        <f t="shared" si="9"/>
        <v>-14.280758816639771</v>
      </c>
      <c r="J90" s="306"/>
      <c r="K90" s="306"/>
    </row>
    <row r="91" spans="1:11" ht="14.5" x14ac:dyDescent="0.35">
      <c r="A91" s="236" t="s">
        <v>973</v>
      </c>
      <c r="B91" s="235">
        <v>32.170955319999926</v>
      </c>
      <c r="C91" s="203">
        <f t="shared" si="5"/>
        <v>0.18587220553306028</v>
      </c>
      <c r="D91" s="235">
        <v>35.430915749999876</v>
      </c>
      <c r="E91" s="203">
        <f t="shared" si="6"/>
        <v>0.220362274276069</v>
      </c>
      <c r="F91" s="235">
        <v>36.445000699999937</v>
      </c>
      <c r="G91" s="203">
        <f t="shared" si="7"/>
        <v>0.25287519478868931</v>
      </c>
      <c r="H91" s="203">
        <f t="shared" si="8"/>
        <v>2.8621471631030682</v>
      </c>
      <c r="I91" s="200">
        <f t="shared" si="9"/>
        <v>13.285416418277563</v>
      </c>
      <c r="J91" s="306"/>
      <c r="K91" s="306"/>
    </row>
    <row r="92" spans="1:11" ht="14.5" x14ac:dyDescent="0.35">
      <c r="A92" s="236" t="s">
        <v>715</v>
      </c>
      <c r="B92" s="235">
        <v>26.269596979999967</v>
      </c>
      <c r="C92" s="203">
        <f t="shared" si="5"/>
        <v>0.15177628020581965</v>
      </c>
      <c r="D92" s="235">
        <v>47.902819949999966</v>
      </c>
      <c r="E92" s="203">
        <f t="shared" si="6"/>
        <v>0.29793117465272062</v>
      </c>
      <c r="F92" s="235">
        <v>35.030646829999874</v>
      </c>
      <c r="G92" s="203">
        <f t="shared" si="7"/>
        <v>0.24306164002104177</v>
      </c>
      <c r="H92" s="203">
        <f t="shared" si="8"/>
        <v>-26.871430812289997</v>
      </c>
      <c r="I92" s="200">
        <f t="shared" si="9"/>
        <v>33.350530107751638</v>
      </c>
      <c r="J92" s="306"/>
      <c r="K92" s="306"/>
    </row>
    <row r="93" spans="1:11" ht="14.5" x14ac:dyDescent="0.35">
      <c r="A93" s="236" t="s">
        <v>725</v>
      </c>
      <c r="B93" s="235">
        <v>29.352866469999995</v>
      </c>
      <c r="C93" s="203">
        <f t="shared" si="5"/>
        <v>0.16959030203571601</v>
      </c>
      <c r="D93" s="235">
        <v>29.785245349999887</v>
      </c>
      <c r="E93" s="203">
        <f t="shared" si="6"/>
        <v>0.18524907601906129</v>
      </c>
      <c r="F93" s="235">
        <v>34.870388729999988</v>
      </c>
      <c r="G93" s="203">
        <f t="shared" si="7"/>
        <v>0.24194968234576217</v>
      </c>
      <c r="H93" s="203">
        <f t="shared" si="8"/>
        <v>17.072692604159201</v>
      </c>
      <c r="I93" s="200">
        <f t="shared" si="9"/>
        <v>18.797217865039386</v>
      </c>
      <c r="J93" s="306"/>
      <c r="K93" s="306"/>
    </row>
    <row r="94" spans="1:11" ht="14.5" x14ac:dyDescent="0.35">
      <c r="A94" s="236" t="s">
        <v>519</v>
      </c>
      <c r="B94" s="235">
        <v>20.755889789999994</v>
      </c>
      <c r="C94" s="203">
        <f t="shared" si="5"/>
        <v>0.11992006375608104</v>
      </c>
      <c r="D94" s="235">
        <v>41.252572459999989</v>
      </c>
      <c r="E94" s="203">
        <f t="shared" si="6"/>
        <v>0.25657001786706457</v>
      </c>
      <c r="F94" s="235">
        <v>34.680944559999979</v>
      </c>
      <c r="G94" s="203">
        <f t="shared" si="7"/>
        <v>0.24063521587655631</v>
      </c>
      <c r="H94" s="203">
        <f t="shared" si="8"/>
        <v>-15.930225700159916</v>
      </c>
      <c r="I94" s="200">
        <f t="shared" si="9"/>
        <v>67.089654603528274</v>
      </c>
      <c r="J94" s="306"/>
      <c r="K94" s="306"/>
    </row>
    <row r="95" spans="1:11" ht="14.5" x14ac:dyDescent="0.35">
      <c r="A95" s="236" t="s">
        <v>558</v>
      </c>
      <c r="B95" s="235">
        <v>32.87757907999994</v>
      </c>
      <c r="C95" s="203">
        <f t="shared" si="5"/>
        <v>0.18995482339276723</v>
      </c>
      <c r="D95" s="235">
        <v>37.113580419999977</v>
      </c>
      <c r="E95" s="203">
        <f t="shared" si="6"/>
        <v>0.23082759264778546</v>
      </c>
      <c r="F95" s="235">
        <v>34.314728059999943</v>
      </c>
      <c r="G95" s="203">
        <f t="shared" si="7"/>
        <v>0.23809420704149978</v>
      </c>
      <c r="H95" s="203">
        <f t="shared" si="8"/>
        <v>-7.541315950459393</v>
      </c>
      <c r="I95" s="200">
        <f t="shared" si="9"/>
        <v>4.3712129062271732</v>
      </c>
      <c r="J95" s="306"/>
      <c r="K95" s="306"/>
    </row>
    <row r="96" spans="1:11" ht="14.5" x14ac:dyDescent="0.35">
      <c r="A96" s="236" t="s">
        <v>645</v>
      </c>
      <c r="B96" s="235">
        <v>33.101827289999854</v>
      </c>
      <c r="C96" s="203">
        <f t="shared" si="5"/>
        <v>0.19125044887124384</v>
      </c>
      <c r="D96" s="235">
        <v>29.388762949999954</v>
      </c>
      <c r="E96" s="203">
        <f t="shared" si="6"/>
        <v>0.18278315715907759</v>
      </c>
      <c r="F96" s="235">
        <v>33.994848779999877</v>
      </c>
      <c r="G96" s="203">
        <f t="shared" si="7"/>
        <v>0.23587471098757648</v>
      </c>
      <c r="H96" s="203">
        <f t="shared" si="8"/>
        <v>15.672949003795789</v>
      </c>
      <c r="I96" s="200">
        <f t="shared" si="9"/>
        <v>2.6978011883646236</v>
      </c>
      <c r="J96" s="306"/>
      <c r="K96" s="306"/>
    </row>
    <row r="97" spans="1:11" ht="14.5" x14ac:dyDescent="0.35">
      <c r="A97" s="236" t="s">
        <v>971</v>
      </c>
      <c r="B97" s="235">
        <v>32.905138659999928</v>
      </c>
      <c r="C97" s="203">
        <f t="shared" si="5"/>
        <v>0.19011405273075888</v>
      </c>
      <c r="D97" s="235">
        <v>37.303889729999938</v>
      </c>
      <c r="E97" s="203">
        <f t="shared" si="6"/>
        <v>0.23201121975647801</v>
      </c>
      <c r="F97" s="235">
        <v>33.701909719999954</v>
      </c>
      <c r="G97" s="203">
        <f t="shared" si="7"/>
        <v>0.23384214080138091</v>
      </c>
      <c r="H97" s="203">
        <f t="shared" si="8"/>
        <v>-9.6557759420548006</v>
      </c>
      <c r="I97" s="200">
        <f t="shared" si="9"/>
        <v>2.4214183329626771</v>
      </c>
      <c r="J97" s="306"/>
      <c r="K97" s="306"/>
    </row>
    <row r="98" spans="1:11" ht="14.5" x14ac:dyDescent="0.35">
      <c r="A98" s="236" t="s">
        <v>720</v>
      </c>
      <c r="B98" s="235">
        <v>41.333716799999976</v>
      </c>
      <c r="C98" s="203">
        <f t="shared" si="5"/>
        <v>0.23881134483186117</v>
      </c>
      <c r="D98" s="235">
        <v>17.803504649999986</v>
      </c>
      <c r="E98" s="203">
        <f t="shared" si="6"/>
        <v>0.11072874329415491</v>
      </c>
      <c r="F98" s="235">
        <v>33.665823439999869</v>
      </c>
      <c r="G98" s="203">
        <f t="shared" si="7"/>
        <v>0.23359175460549805</v>
      </c>
      <c r="H98" s="203">
        <f t="shared" si="8"/>
        <v>89.096608234378706</v>
      </c>
      <c r="I98" s="200">
        <f t="shared" si="9"/>
        <v>-18.551182796123744</v>
      </c>
      <c r="J98" s="306"/>
      <c r="K98" s="306"/>
    </row>
    <row r="99" spans="1:11" ht="14.5" x14ac:dyDescent="0.35">
      <c r="A99" s="236" t="s">
        <v>972</v>
      </c>
      <c r="B99" s="235">
        <v>39.732120949999981</v>
      </c>
      <c r="C99" s="203">
        <f t="shared" si="5"/>
        <v>0.22955790022473049</v>
      </c>
      <c r="D99" s="235">
        <v>38.234848129999889</v>
      </c>
      <c r="E99" s="203">
        <f t="shared" si="6"/>
        <v>0.23780130747896089</v>
      </c>
      <c r="F99" s="235">
        <v>32.662712689999992</v>
      </c>
      <c r="G99" s="203">
        <f t="shared" si="7"/>
        <v>0.22663162779993462</v>
      </c>
      <c r="H99" s="203">
        <f t="shared" si="8"/>
        <v>-14.573447293564323</v>
      </c>
      <c r="I99" s="200">
        <f t="shared" si="9"/>
        <v>-17.792677790587451</v>
      </c>
      <c r="J99" s="306"/>
      <c r="K99" s="306"/>
    </row>
    <row r="100" spans="1:11" ht="14.5" x14ac:dyDescent="0.35">
      <c r="A100" s="236" t="s">
        <v>579</v>
      </c>
      <c r="B100" s="235">
        <v>33.879586719999963</v>
      </c>
      <c r="C100" s="203">
        <f t="shared" si="5"/>
        <v>0.19574406303937467</v>
      </c>
      <c r="D100" s="235">
        <v>29.37555429999993</v>
      </c>
      <c r="E100" s="203">
        <f t="shared" si="6"/>
        <v>0.18270100607456541</v>
      </c>
      <c r="F100" s="235">
        <v>31.886093939999952</v>
      </c>
      <c r="G100" s="203">
        <f t="shared" si="7"/>
        <v>0.22124302541522378</v>
      </c>
      <c r="H100" s="203">
        <f t="shared" si="8"/>
        <v>8.546356655472632</v>
      </c>
      <c r="I100" s="200">
        <f t="shared" si="9"/>
        <v>-5.8840528264862302</v>
      </c>
      <c r="J100" s="306"/>
      <c r="K100" s="306"/>
    </row>
    <row r="101" spans="1:11" ht="14.5" x14ac:dyDescent="0.35">
      <c r="A101" s="236" t="s">
        <v>681</v>
      </c>
      <c r="B101" s="235">
        <v>28.153765489999888</v>
      </c>
      <c r="C101" s="203">
        <f t="shared" si="5"/>
        <v>0.1626623279798472</v>
      </c>
      <c r="D101" s="235">
        <v>31.17187959</v>
      </c>
      <c r="E101" s="203">
        <f t="shared" si="6"/>
        <v>0.1938732356899977</v>
      </c>
      <c r="F101" s="235">
        <v>31.427240040000001</v>
      </c>
      <c r="G101" s="203">
        <f t="shared" si="7"/>
        <v>0.21805924802152385</v>
      </c>
      <c r="H101" s="203">
        <f t="shared" si="8"/>
        <v>0.81920132298316517</v>
      </c>
      <c r="I101" s="200">
        <f t="shared" si="9"/>
        <v>11.627128709169799</v>
      </c>
      <c r="J101" s="306"/>
      <c r="K101" s="306"/>
    </row>
    <row r="102" spans="1:11" ht="14.5" x14ac:dyDescent="0.35">
      <c r="A102" s="236" t="s">
        <v>710</v>
      </c>
      <c r="B102" s="235">
        <v>42.806505849999979</v>
      </c>
      <c r="C102" s="203">
        <f t="shared" si="5"/>
        <v>0.24732059009006019</v>
      </c>
      <c r="D102" s="235">
        <v>72.441916999999961</v>
      </c>
      <c r="E102" s="203">
        <f t="shared" si="6"/>
        <v>0.45055187666263674</v>
      </c>
      <c r="F102" s="235">
        <v>31.178176599999858</v>
      </c>
      <c r="G102" s="203">
        <f t="shared" si="7"/>
        <v>0.21633111069966679</v>
      </c>
      <c r="H102" s="203">
        <f t="shared" si="8"/>
        <v>-56.961138121179374</v>
      </c>
      <c r="I102" s="200">
        <f t="shared" si="9"/>
        <v>-27.16486435671116</v>
      </c>
      <c r="J102" s="306"/>
      <c r="K102" s="306"/>
    </row>
    <row r="103" spans="1:11" ht="14.5" x14ac:dyDescent="0.35">
      <c r="A103" s="236" t="s">
        <v>528</v>
      </c>
      <c r="B103" s="235">
        <v>30.87638302999995</v>
      </c>
      <c r="C103" s="203">
        <f t="shared" si="5"/>
        <v>0.17839263259620408</v>
      </c>
      <c r="D103" s="235">
        <v>27.555813159999975</v>
      </c>
      <c r="E103" s="203">
        <f t="shared" si="6"/>
        <v>0.17138314178244313</v>
      </c>
      <c r="F103" s="235">
        <v>30.906191669999959</v>
      </c>
      <c r="G103" s="203">
        <f t="shared" si="7"/>
        <v>0.21444393163992506</v>
      </c>
      <c r="H103" s="203">
        <f t="shared" si="8"/>
        <v>12.158518025022014</v>
      </c>
      <c r="I103" s="200">
        <f t="shared" si="9"/>
        <v>9.6541877884614991E-2</v>
      </c>
      <c r="J103" s="306"/>
      <c r="K103" s="306"/>
    </row>
    <row r="104" spans="1:11" ht="14.5" x14ac:dyDescent="0.35">
      <c r="A104" s="236" t="s">
        <v>609</v>
      </c>
      <c r="B104" s="235">
        <v>27.564021989999883</v>
      </c>
      <c r="C104" s="203">
        <f t="shared" si="5"/>
        <v>0.15925500221182312</v>
      </c>
      <c r="D104" s="235">
        <v>31.767819289999853</v>
      </c>
      <c r="E104" s="203">
        <f t="shared" si="6"/>
        <v>0.19757967750341215</v>
      </c>
      <c r="F104" s="235">
        <v>30.742665859999946</v>
      </c>
      <c r="G104" s="203">
        <f t="shared" si="7"/>
        <v>0.21330930081916805</v>
      </c>
      <c r="H104" s="203">
        <f t="shared" si="8"/>
        <v>-3.2270185770120308</v>
      </c>
      <c r="I104" s="200">
        <f t="shared" si="9"/>
        <v>11.531857981949312</v>
      </c>
      <c r="J104" s="306"/>
      <c r="K104" s="306"/>
    </row>
    <row r="105" spans="1:11" ht="14.5" x14ac:dyDescent="0.35">
      <c r="A105" s="236" t="s">
        <v>611</v>
      </c>
      <c r="B105" s="235">
        <v>34.305630849999986</v>
      </c>
      <c r="C105" s="203">
        <f t="shared" si="5"/>
        <v>0.19820559274248201</v>
      </c>
      <c r="D105" s="235">
        <v>25.522708029999993</v>
      </c>
      <c r="E105" s="203">
        <f t="shared" si="6"/>
        <v>0.15873826199863059</v>
      </c>
      <c r="F105" s="235">
        <v>29.572566529999975</v>
      </c>
      <c r="G105" s="203">
        <f t="shared" si="7"/>
        <v>0.20519051661522483</v>
      </c>
      <c r="H105" s="203">
        <f t="shared" si="8"/>
        <v>15.86766770688941</v>
      </c>
      <c r="I105" s="200">
        <f t="shared" si="9"/>
        <v>-13.796756400414701</v>
      </c>
      <c r="J105" s="306"/>
      <c r="K105" s="306"/>
    </row>
    <row r="106" spans="1:11" ht="14.5" x14ac:dyDescent="0.35">
      <c r="A106" s="236" t="s">
        <v>492</v>
      </c>
      <c r="B106" s="235">
        <v>25.479555319999882</v>
      </c>
      <c r="C106" s="203">
        <f t="shared" si="5"/>
        <v>0.1472117037315884</v>
      </c>
      <c r="D106" s="235">
        <v>28.706511679999902</v>
      </c>
      <c r="E106" s="203">
        <f t="shared" si="6"/>
        <v>0.17853990128204178</v>
      </c>
      <c r="F106" s="235">
        <v>28.603979259999978</v>
      </c>
      <c r="G106" s="203">
        <f t="shared" si="7"/>
        <v>0.19846993245095854</v>
      </c>
      <c r="H106" s="203">
        <f t="shared" si="8"/>
        <v>-0.3571747802132319</v>
      </c>
      <c r="I106" s="200">
        <f t="shared" si="9"/>
        <v>12.262474367233622</v>
      </c>
      <c r="J106" s="306"/>
      <c r="K106" s="306"/>
    </row>
    <row r="107" spans="1:11" ht="14.5" x14ac:dyDescent="0.35">
      <c r="A107" s="236" t="s">
        <v>597</v>
      </c>
      <c r="B107" s="235">
        <v>22.382187089999974</v>
      </c>
      <c r="C107" s="203">
        <f t="shared" si="5"/>
        <v>0.12931622445434712</v>
      </c>
      <c r="D107" s="235">
        <v>29.826196959999962</v>
      </c>
      <c r="E107" s="203">
        <f t="shared" si="6"/>
        <v>0.18550377420351011</v>
      </c>
      <c r="F107" s="235">
        <v>28.466546039999933</v>
      </c>
      <c r="G107" s="203">
        <f t="shared" si="7"/>
        <v>0.19751634618095062</v>
      </c>
      <c r="H107" s="203">
        <f t="shared" si="8"/>
        <v>-4.5585795662231536</v>
      </c>
      <c r="I107" s="200">
        <f t="shared" si="9"/>
        <v>27.183933927164606</v>
      </c>
      <c r="J107" s="306"/>
      <c r="K107" s="306"/>
    </row>
    <row r="108" spans="1:11" ht="14.5" x14ac:dyDescent="0.35">
      <c r="A108" s="236" t="s">
        <v>712</v>
      </c>
      <c r="B108" s="235">
        <v>49.426059189999897</v>
      </c>
      <c r="C108" s="203">
        <f t="shared" si="5"/>
        <v>0.28556598773868441</v>
      </c>
      <c r="D108" s="235">
        <v>43.113671149999995</v>
      </c>
      <c r="E108" s="203">
        <f t="shared" si="6"/>
        <v>0.26814510508395689</v>
      </c>
      <c r="F108" s="235">
        <v>27.721165149999873</v>
      </c>
      <c r="G108" s="203">
        <f t="shared" si="7"/>
        <v>0.19234448902276072</v>
      </c>
      <c r="H108" s="203">
        <f t="shared" si="8"/>
        <v>-35.702146417656955</v>
      </c>
      <c r="I108" s="200">
        <f t="shared" si="9"/>
        <v>-43.913867291267792</v>
      </c>
      <c r="J108" s="306"/>
      <c r="K108" s="306"/>
    </row>
    <row r="109" spans="1:11" ht="14.5" x14ac:dyDescent="0.35">
      <c r="A109" s="236" t="s">
        <v>552</v>
      </c>
      <c r="B109" s="235">
        <v>11.747353679999987</v>
      </c>
      <c r="C109" s="203">
        <f t="shared" si="5"/>
        <v>6.7871983158705726E-2</v>
      </c>
      <c r="D109" s="235">
        <v>7.5557979799999977</v>
      </c>
      <c r="E109" s="203">
        <f t="shared" si="6"/>
        <v>4.6993220231496081E-2</v>
      </c>
      <c r="F109" s="235">
        <v>26.840406729999888</v>
      </c>
      <c r="G109" s="203">
        <f t="shared" si="7"/>
        <v>0.18623330908747607</v>
      </c>
      <c r="H109" s="203">
        <f t="shared" si="8"/>
        <v>255.22927956842878</v>
      </c>
      <c r="I109" s="200">
        <f t="shared" si="9"/>
        <v>128.4804515224225</v>
      </c>
      <c r="J109" s="306"/>
      <c r="K109" s="306"/>
    </row>
    <row r="110" spans="1:11" ht="14.5" x14ac:dyDescent="0.35">
      <c r="A110" s="236" t="s">
        <v>531</v>
      </c>
      <c r="B110" s="235">
        <v>18.498141939999901</v>
      </c>
      <c r="C110" s="203">
        <f t="shared" si="5"/>
        <v>0.10687560896004476</v>
      </c>
      <c r="D110" s="235">
        <v>20.473618620000003</v>
      </c>
      <c r="E110" s="203">
        <f t="shared" si="6"/>
        <v>0.1273354940526506</v>
      </c>
      <c r="F110" s="235">
        <v>26.820407919999997</v>
      </c>
      <c r="G110" s="203">
        <f t="shared" si="7"/>
        <v>0.18609454648966758</v>
      </c>
      <c r="H110" s="203">
        <f t="shared" si="8"/>
        <v>30.999841394916004</v>
      </c>
      <c r="I110" s="200">
        <f t="shared" si="9"/>
        <v>44.989740088458532</v>
      </c>
      <c r="J110" s="306"/>
      <c r="K110" s="306"/>
    </row>
    <row r="111" spans="1:11" ht="14.5" x14ac:dyDescent="0.35">
      <c r="A111" s="236" t="s">
        <v>480</v>
      </c>
      <c r="B111" s="235">
        <v>22.927297439999979</v>
      </c>
      <c r="C111" s="203">
        <f t="shared" si="5"/>
        <v>0.13246567593956338</v>
      </c>
      <c r="D111" s="235">
        <v>17.504468259999971</v>
      </c>
      <c r="E111" s="203">
        <f t="shared" si="6"/>
        <v>0.10886888905113527</v>
      </c>
      <c r="F111" s="235">
        <v>26.638665229999987</v>
      </c>
      <c r="G111" s="203">
        <f t="shared" si="7"/>
        <v>0.18483351706855486</v>
      </c>
      <c r="H111" s="203">
        <f t="shared" si="8"/>
        <v>52.182087649430997</v>
      </c>
      <c r="I111" s="200">
        <f t="shared" si="9"/>
        <v>16.187550232261529</v>
      </c>
      <c r="J111" s="306"/>
      <c r="K111" s="306"/>
    </row>
    <row r="112" spans="1:11" ht="14.5" x14ac:dyDescent="0.35">
      <c r="A112" s="236" t="s">
        <v>502</v>
      </c>
      <c r="B112" s="235">
        <v>35.564925989999963</v>
      </c>
      <c r="C112" s="203">
        <f t="shared" si="5"/>
        <v>0.20548134699847528</v>
      </c>
      <c r="D112" s="235">
        <v>21.755468409999963</v>
      </c>
      <c r="E112" s="203">
        <f t="shared" si="6"/>
        <v>0.1353079477424679</v>
      </c>
      <c r="F112" s="235">
        <v>26.254933609999973</v>
      </c>
      <c r="G112" s="203">
        <f t="shared" si="7"/>
        <v>0.18217097882489167</v>
      </c>
      <c r="H112" s="203">
        <f t="shared" si="8"/>
        <v>20.681996430524197</v>
      </c>
      <c r="I112" s="200">
        <f t="shared" si="9"/>
        <v>-26.177454671542812</v>
      </c>
      <c r="J112" s="306"/>
      <c r="K112" s="306"/>
    </row>
    <row r="113" spans="1:11" ht="14.5" x14ac:dyDescent="0.35">
      <c r="A113" s="236" t="s">
        <v>660</v>
      </c>
      <c r="B113" s="235">
        <v>17.523230529999971</v>
      </c>
      <c r="C113" s="203">
        <f t="shared" si="5"/>
        <v>0.1012429215818313</v>
      </c>
      <c r="D113" s="235">
        <v>22.886875229999973</v>
      </c>
      <c r="E113" s="203">
        <f t="shared" si="6"/>
        <v>0.14234472268065612</v>
      </c>
      <c r="F113" s="235">
        <v>26.091042919999964</v>
      </c>
      <c r="G113" s="203">
        <f t="shared" si="7"/>
        <v>0.18103381626866194</v>
      </c>
      <c r="H113" s="203">
        <f t="shared" si="8"/>
        <v>14.000022536060275</v>
      </c>
      <c r="I113" s="200">
        <f t="shared" si="9"/>
        <v>48.894023138780263</v>
      </c>
      <c r="J113" s="306"/>
      <c r="K113" s="306"/>
    </row>
    <row r="114" spans="1:11" ht="14.5" x14ac:dyDescent="0.35">
      <c r="A114" s="236" t="s">
        <v>508</v>
      </c>
      <c r="B114" s="235">
        <v>21.606142009999942</v>
      </c>
      <c r="C114" s="203">
        <f t="shared" si="5"/>
        <v>0.12483251518373643</v>
      </c>
      <c r="D114" s="235">
        <v>27.471880179999982</v>
      </c>
      <c r="E114" s="203">
        <f t="shared" si="6"/>
        <v>0.17086112133876982</v>
      </c>
      <c r="F114" s="235">
        <v>24.613253809999964</v>
      </c>
      <c r="G114" s="203">
        <f t="shared" si="7"/>
        <v>0.17078011337744881</v>
      </c>
      <c r="H114" s="203">
        <f t="shared" si="8"/>
        <v>-10.405645158867383</v>
      </c>
      <c r="I114" s="200">
        <f t="shared" si="9"/>
        <v>13.917856314228816</v>
      </c>
      <c r="J114" s="306"/>
      <c r="K114" s="306"/>
    </row>
    <row r="115" spans="1:11" ht="14.5" x14ac:dyDescent="0.35">
      <c r="A115" s="236" t="s">
        <v>529</v>
      </c>
      <c r="B115" s="235">
        <v>31.493974019999989</v>
      </c>
      <c r="C115" s="203">
        <f t="shared" si="5"/>
        <v>0.18196085114261729</v>
      </c>
      <c r="D115" s="235">
        <v>22.861483239999966</v>
      </c>
      <c r="E115" s="203">
        <f t="shared" si="6"/>
        <v>0.14218679741831525</v>
      </c>
      <c r="F115" s="235">
        <v>23.361794009999965</v>
      </c>
      <c r="G115" s="203">
        <f t="shared" si="7"/>
        <v>0.16209680607557203</v>
      </c>
      <c r="H115" s="203">
        <f t="shared" si="8"/>
        <v>2.1884440512793146</v>
      </c>
      <c r="I115" s="200">
        <f t="shared" si="9"/>
        <v>-25.821384131566727</v>
      </c>
      <c r="J115" s="306"/>
      <c r="K115" s="306"/>
    </row>
    <row r="116" spans="1:11" ht="14.5" x14ac:dyDescent="0.35">
      <c r="A116" s="236" t="s">
        <v>622</v>
      </c>
      <c r="B116" s="235">
        <v>51.685972929999927</v>
      </c>
      <c r="C116" s="203">
        <f t="shared" si="5"/>
        <v>0.29862295626790719</v>
      </c>
      <c r="D116" s="235">
        <v>55.498163189999879</v>
      </c>
      <c r="E116" s="203">
        <f t="shared" si="6"/>
        <v>0.34517034628699461</v>
      </c>
      <c r="F116" s="235">
        <v>23.027133639999963</v>
      </c>
      <c r="G116" s="203">
        <f t="shared" si="7"/>
        <v>0.15977475079703268</v>
      </c>
      <c r="H116" s="203">
        <f t="shared" si="8"/>
        <v>-58.508295921135669</v>
      </c>
      <c r="I116" s="200">
        <f t="shared" si="9"/>
        <v>-55.448001973018116</v>
      </c>
      <c r="J116" s="306"/>
      <c r="K116" s="306"/>
    </row>
    <row r="117" spans="1:11" ht="14.5" x14ac:dyDescent="0.35">
      <c r="A117" s="236" t="s">
        <v>703</v>
      </c>
      <c r="B117" s="235">
        <v>16.22429235999995</v>
      </c>
      <c r="C117" s="203">
        <f t="shared" si="5"/>
        <v>9.3738124161069428E-2</v>
      </c>
      <c r="D117" s="235">
        <v>22.328964419999963</v>
      </c>
      <c r="E117" s="203">
        <f t="shared" si="6"/>
        <v>0.13887480121991017</v>
      </c>
      <c r="F117" s="235">
        <v>21.870803399999975</v>
      </c>
      <c r="G117" s="203">
        <f t="shared" si="7"/>
        <v>0.15175150401245929</v>
      </c>
      <c r="H117" s="203">
        <f t="shared" si="8"/>
        <v>-2.0518686464008784</v>
      </c>
      <c r="I117" s="200">
        <f t="shared" si="9"/>
        <v>34.802818605026921</v>
      </c>
      <c r="J117" s="306"/>
      <c r="K117" s="306"/>
    </row>
    <row r="118" spans="1:11" ht="14.5" x14ac:dyDescent="0.35">
      <c r="A118" s="236" t="s">
        <v>974</v>
      </c>
      <c r="B118" s="235">
        <v>27.463817749999983</v>
      </c>
      <c r="C118" s="203">
        <f t="shared" si="5"/>
        <v>0.15867605816408556</v>
      </c>
      <c r="D118" s="235">
        <v>43.80161149999995</v>
      </c>
      <c r="E118" s="203">
        <f t="shared" si="6"/>
        <v>0.27242374414488113</v>
      </c>
      <c r="F118" s="235">
        <v>21.595320609999977</v>
      </c>
      <c r="G118" s="203">
        <f t="shared" si="7"/>
        <v>0.14984005490163022</v>
      </c>
      <c r="H118" s="203">
        <f t="shared" si="8"/>
        <v>-50.697428997560969</v>
      </c>
      <c r="I118" s="200">
        <f t="shared" si="9"/>
        <v>-21.368104002947696</v>
      </c>
      <c r="J118" s="306"/>
      <c r="K118" s="306"/>
    </row>
    <row r="119" spans="1:11" ht="14.5" x14ac:dyDescent="0.35">
      <c r="A119" s="236" t="s">
        <v>572</v>
      </c>
      <c r="B119" s="235">
        <v>16.36756072</v>
      </c>
      <c r="C119" s="203">
        <f t="shared" si="5"/>
        <v>9.4565877200773488E-2</v>
      </c>
      <c r="D119" s="235">
        <v>76.156120929999986</v>
      </c>
      <c r="E119" s="203">
        <f t="shared" si="6"/>
        <v>0.4736523359032343</v>
      </c>
      <c r="F119" s="235">
        <v>20.295382139999983</v>
      </c>
      <c r="G119" s="203">
        <f t="shared" si="7"/>
        <v>0.14082037627628283</v>
      </c>
      <c r="H119" s="203">
        <f t="shared" si="8"/>
        <v>-73.350294247976748</v>
      </c>
      <c r="I119" s="200">
        <f t="shared" si="9"/>
        <v>23.997597975613203</v>
      </c>
      <c r="J119" s="306"/>
      <c r="K119" s="306"/>
    </row>
    <row r="120" spans="1:11" ht="14.5" x14ac:dyDescent="0.35">
      <c r="A120" s="236" t="s">
        <v>516</v>
      </c>
      <c r="B120" s="235">
        <v>22.280957699999966</v>
      </c>
      <c r="C120" s="203">
        <f t="shared" si="5"/>
        <v>0.12873135745873229</v>
      </c>
      <c r="D120" s="235">
        <v>19.286773509999975</v>
      </c>
      <c r="E120" s="203">
        <f t="shared" si="6"/>
        <v>0.119953921148963</v>
      </c>
      <c r="F120" s="235">
        <v>19.275938569999962</v>
      </c>
      <c r="G120" s="203">
        <f t="shared" si="7"/>
        <v>0.13374692350118567</v>
      </c>
      <c r="H120" s="203">
        <f t="shared" si="8"/>
        <v>-5.6178084916047588E-2</v>
      </c>
      <c r="I120" s="200">
        <f t="shared" si="9"/>
        <v>-13.486938804250814</v>
      </c>
      <c r="J120" s="306"/>
      <c r="K120" s="306"/>
    </row>
    <row r="121" spans="1:11" ht="14.5" x14ac:dyDescent="0.35">
      <c r="A121" s="236" t="s">
        <v>524</v>
      </c>
      <c r="B121" s="235">
        <v>22.10737037999996</v>
      </c>
      <c r="C121" s="203">
        <f t="shared" si="5"/>
        <v>0.12772843237615272</v>
      </c>
      <c r="D121" s="235">
        <v>20.20308766999996</v>
      </c>
      <c r="E121" s="203">
        <f t="shared" si="6"/>
        <v>0.12565292914733692</v>
      </c>
      <c r="F121" s="235">
        <v>19.238859649999966</v>
      </c>
      <c r="G121" s="203">
        <f t="shared" si="7"/>
        <v>0.13348964983024422</v>
      </c>
      <c r="H121" s="203">
        <f t="shared" si="8"/>
        <v>-4.772676512371909</v>
      </c>
      <c r="I121" s="200">
        <f t="shared" si="9"/>
        <v>-12.975359261158758</v>
      </c>
      <c r="J121" s="306"/>
      <c r="K121" s="306"/>
    </row>
    <row r="122" spans="1:11" ht="14.5" x14ac:dyDescent="0.35">
      <c r="A122" s="236" t="s">
        <v>481</v>
      </c>
      <c r="B122" s="235">
        <v>11.886759949999993</v>
      </c>
      <c r="C122" s="203">
        <f t="shared" si="5"/>
        <v>6.8677422431873025E-2</v>
      </c>
      <c r="D122" s="235">
        <v>19.372072679999985</v>
      </c>
      <c r="E122" s="203">
        <f t="shared" si="6"/>
        <v>0.12048443859953337</v>
      </c>
      <c r="F122" s="235">
        <v>19.065083809999969</v>
      </c>
      <c r="G122" s="203">
        <f t="shared" si="7"/>
        <v>0.13228389873831001</v>
      </c>
      <c r="H122" s="203">
        <f t="shared" si="8"/>
        <v>-1.5846981119214787</v>
      </c>
      <c r="I122" s="200">
        <f t="shared" si="9"/>
        <v>60.389238869082916</v>
      </c>
      <c r="J122" s="306"/>
      <c r="K122" s="306"/>
    </row>
    <row r="123" spans="1:11" ht="14.5" x14ac:dyDescent="0.35">
      <c r="A123" s="236" t="s">
        <v>491</v>
      </c>
      <c r="B123" s="235">
        <v>22.077875119999959</v>
      </c>
      <c r="C123" s="203">
        <f t="shared" si="5"/>
        <v>0.1275580193755303</v>
      </c>
      <c r="D123" s="235">
        <v>27.279253149999949</v>
      </c>
      <c r="E123" s="203">
        <f t="shared" si="6"/>
        <v>0.169663079190569</v>
      </c>
      <c r="F123" s="235">
        <v>18.955084659999958</v>
      </c>
      <c r="G123" s="203">
        <f t="shared" si="7"/>
        <v>0.13152066493535819</v>
      </c>
      <c r="H123" s="203">
        <f t="shared" si="8"/>
        <v>-30.514649518548154</v>
      </c>
      <c r="I123" s="200">
        <f t="shared" si="9"/>
        <v>-14.144433932281464</v>
      </c>
      <c r="J123" s="306"/>
      <c r="K123" s="306"/>
    </row>
    <row r="124" spans="1:11" ht="14.5" x14ac:dyDescent="0.35">
      <c r="A124" s="236" t="s">
        <v>512</v>
      </c>
      <c r="B124" s="235">
        <v>15.928954439999989</v>
      </c>
      <c r="C124" s="203">
        <f t="shared" si="5"/>
        <v>9.2031767914513951E-2</v>
      </c>
      <c r="D124" s="235">
        <v>16.967166169999956</v>
      </c>
      <c r="E124" s="203">
        <f t="shared" si="6"/>
        <v>0.10552714334630717</v>
      </c>
      <c r="F124" s="235">
        <v>18.895427739999977</v>
      </c>
      <c r="G124" s="203">
        <f t="shared" si="7"/>
        <v>0.13110673284657412</v>
      </c>
      <c r="H124" s="203">
        <f t="shared" si="8"/>
        <v>11.364664851396489</v>
      </c>
      <c r="I124" s="200">
        <f t="shared" si="9"/>
        <v>18.623151388710912</v>
      </c>
      <c r="J124" s="306"/>
      <c r="K124" s="306"/>
    </row>
    <row r="125" spans="1:11" ht="14.5" x14ac:dyDescent="0.35">
      <c r="A125" s="236" t="s">
        <v>503</v>
      </c>
      <c r="B125" s="235">
        <v>17.435001279999973</v>
      </c>
      <c r="C125" s="203">
        <f t="shared" si="5"/>
        <v>0.10073316471801096</v>
      </c>
      <c r="D125" s="235">
        <v>20.876859619999951</v>
      </c>
      <c r="E125" s="203">
        <f t="shared" si="6"/>
        <v>0.12984344796691955</v>
      </c>
      <c r="F125" s="235">
        <v>17.818634319999969</v>
      </c>
      <c r="G125" s="203">
        <f t="shared" si="7"/>
        <v>0.1236353556864776</v>
      </c>
      <c r="H125" s="203">
        <f t="shared" si="8"/>
        <v>-14.648876103330288</v>
      </c>
      <c r="I125" s="200">
        <f t="shared" si="9"/>
        <v>2.2003614100107205</v>
      </c>
      <c r="J125" s="306"/>
      <c r="K125" s="306"/>
    </row>
    <row r="126" spans="1:11" ht="14.5" x14ac:dyDescent="0.35">
      <c r="A126" s="236" t="s">
        <v>538</v>
      </c>
      <c r="B126" s="235">
        <v>13.634876069999979</v>
      </c>
      <c r="C126" s="203">
        <f t="shared" si="5"/>
        <v>7.8777408444731467E-2</v>
      </c>
      <c r="D126" s="235">
        <v>18.550902249999979</v>
      </c>
      <c r="E126" s="203">
        <f t="shared" si="6"/>
        <v>0.11537717620756259</v>
      </c>
      <c r="F126" s="235">
        <v>17.799310209999991</v>
      </c>
      <c r="G126" s="203">
        <f t="shared" si="7"/>
        <v>0.12350127452345097</v>
      </c>
      <c r="H126" s="203">
        <f t="shared" si="8"/>
        <v>-4.0515120497710004</v>
      </c>
      <c r="I126" s="200">
        <f t="shared" si="9"/>
        <v>30.542515521375169</v>
      </c>
      <c r="J126" s="306"/>
      <c r="K126" s="306"/>
    </row>
    <row r="127" spans="1:11" ht="14.5" x14ac:dyDescent="0.35">
      <c r="A127" s="236" t="s">
        <v>641</v>
      </c>
      <c r="B127" s="235">
        <v>23.59820870999997</v>
      </c>
      <c r="C127" s="203">
        <f t="shared" si="5"/>
        <v>0.13634195988051179</v>
      </c>
      <c r="D127" s="235">
        <v>19.266368299999975</v>
      </c>
      <c r="E127" s="203">
        <f t="shared" si="6"/>
        <v>0.11982701112173118</v>
      </c>
      <c r="F127" s="235">
        <v>17.742710109999976</v>
      </c>
      <c r="G127" s="203">
        <f t="shared" si="7"/>
        <v>0.12310855231086604</v>
      </c>
      <c r="H127" s="203">
        <f t="shared" si="8"/>
        <v>-7.9083829722075949</v>
      </c>
      <c r="I127" s="200">
        <f t="shared" si="9"/>
        <v>-24.813318129179308</v>
      </c>
      <c r="J127" s="306"/>
      <c r="K127" s="306"/>
    </row>
    <row r="128" spans="1:11" ht="14.5" x14ac:dyDescent="0.35">
      <c r="A128" s="236" t="s">
        <v>699</v>
      </c>
      <c r="B128" s="235">
        <v>21.323221309999962</v>
      </c>
      <c r="C128" s="203">
        <f t="shared" si="5"/>
        <v>0.12319790116693534</v>
      </c>
      <c r="D128" s="235">
        <v>22.413616259999998</v>
      </c>
      <c r="E128" s="203">
        <f t="shared" si="6"/>
        <v>0.1394012926071406</v>
      </c>
      <c r="F128" s="235">
        <v>17.52947878999997</v>
      </c>
      <c r="G128" s="203">
        <f t="shared" si="7"/>
        <v>0.12162903768487096</v>
      </c>
      <c r="H128" s="203">
        <f t="shared" si="8"/>
        <v>-21.790939103014818</v>
      </c>
      <c r="I128" s="200">
        <f t="shared" si="9"/>
        <v>-17.791601300976222</v>
      </c>
      <c r="J128" s="306"/>
      <c r="K128" s="306"/>
    </row>
    <row r="129" spans="1:11" ht="14.5" x14ac:dyDescent="0.35">
      <c r="A129" s="236" t="s">
        <v>653</v>
      </c>
      <c r="B129" s="235">
        <v>25.366415439999891</v>
      </c>
      <c r="C129" s="203">
        <f t="shared" si="5"/>
        <v>0.14655802220985037</v>
      </c>
      <c r="D129" s="235">
        <v>16.983608079999971</v>
      </c>
      <c r="E129" s="203">
        <f t="shared" si="6"/>
        <v>0.10562940366344406</v>
      </c>
      <c r="F129" s="235">
        <v>17.521485689999984</v>
      </c>
      <c r="G129" s="203">
        <f t="shared" si="7"/>
        <v>0.12157357721894588</v>
      </c>
      <c r="H129" s="203">
        <f t="shared" si="8"/>
        <v>3.1670396977272475</v>
      </c>
      <c r="I129" s="200">
        <f t="shared" si="9"/>
        <v>-30.926441966370078</v>
      </c>
      <c r="J129" s="306"/>
      <c r="K129" s="306"/>
    </row>
    <row r="130" spans="1:11" ht="14.5" x14ac:dyDescent="0.35">
      <c r="A130" s="236" t="s">
        <v>598</v>
      </c>
      <c r="B130" s="235">
        <v>21.491962479999991</v>
      </c>
      <c r="C130" s="203">
        <f t="shared" si="5"/>
        <v>0.1241728269383387</v>
      </c>
      <c r="D130" s="235">
        <v>16.571599819999971</v>
      </c>
      <c r="E130" s="203">
        <f t="shared" si="6"/>
        <v>0.10306692185138065</v>
      </c>
      <c r="F130" s="235">
        <v>17.338849179999979</v>
      </c>
      <c r="G130" s="203">
        <f t="shared" si="7"/>
        <v>0.12030634598956691</v>
      </c>
      <c r="H130" s="203">
        <f t="shared" si="8"/>
        <v>4.6299051892022325</v>
      </c>
      <c r="I130" s="200">
        <f t="shared" si="9"/>
        <v>-19.324030105974821</v>
      </c>
      <c r="J130" s="306"/>
      <c r="K130" s="306"/>
    </row>
    <row r="131" spans="1:11" ht="14.5" x14ac:dyDescent="0.35">
      <c r="A131" s="236" t="s">
        <v>617</v>
      </c>
      <c r="B131" s="235">
        <v>16.025981449999968</v>
      </c>
      <c r="C131" s="203">
        <f t="shared" si="5"/>
        <v>9.2592355070399937E-2</v>
      </c>
      <c r="D131" s="235">
        <v>15.843055149999977</v>
      </c>
      <c r="E131" s="203">
        <f t="shared" si="6"/>
        <v>9.8535744573161207E-2</v>
      </c>
      <c r="F131" s="235">
        <v>15.978631569999967</v>
      </c>
      <c r="G131" s="203">
        <f t="shared" si="7"/>
        <v>0.11086841797537542</v>
      </c>
      <c r="H131" s="203">
        <f t="shared" si="8"/>
        <v>0.85574668974115475</v>
      </c>
      <c r="I131" s="200">
        <f t="shared" si="9"/>
        <v>-0.29545697496111689</v>
      </c>
      <c r="J131" s="306"/>
      <c r="K131" s="306"/>
    </row>
    <row r="132" spans="1:11" ht="14.5" x14ac:dyDescent="0.35">
      <c r="A132" s="236" t="s">
        <v>566</v>
      </c>
      <c r="B132" s="235">
        <v>12.382229289999987</v>
      </c>
      <c r="C132" s="203">
        <f t="shared" ref="C132:C195" si="10">(B132/$B$258)*100</f>
        <v>7.1540066020904278E-2</v>
      </c>
      <c r="D132" s="235">
        <v>62.792987629999963</v>
      </c>
      <c r="E132" s="203">
        <f t="shared" ref="E132:E195" si="11">(D132/$D$258)*100</f>
        <v>0.39054044384206771</v>
      </c>
      <c r="F132" s="235">
        <v>15.896280809999977</v>
      </c>
      <c r="G132" s="203">
        <f t="shared" ref="G132:G195" si="12">(F132/$F$258)*100</f>
        <v>0.11029702370795827</v>
      </c>
      <c r="H132" s="203">
        <f t="shared" ref="H132:H195" si="13">((F132/D132)-1)*100</f>
        <v>-74.684624175446345</v>
      </c>
      <c r="I132" s="200">
        <f t="shared" ref="I132:I195" si="14">((F132/B132)-1)*100</f>
        <v>28.379796866126306</v>
      </c>
      <c r="J132" s="306"/>
      <c r="K132" s="306"/>
    </row>
    <row r="133" spans="1:11" ht="14.5" x14ac:dyDescent="0.35">
      <c r="A133" s="236" t="s">
        <v>545</v>
      </c>
      <c r="B133" s="235">
        <v>13.881752989999992</v>
      </c>
      <c r="C133" s="203">
        <f t="shared" si="10"/>
        <v>8.0203774468344216E-2</v>
      </c>
      <c r="D133" s="235">
        <v>14.505299459999971</v>
      </c>
      <c r="E133" s="203">
        <f t="shared" si="11"/>
        <v>9.0215584621490916E-2</v>
      </c>
      <c r="F133" s="235">
        <v>14.141853209999983</v>
      </c>
      <c r="G133" s="203">
        <f t="shared" si="12"/>
        <v>9.8123852832078653E-2</v>
      </c>
      <c r="H133" s="203">
        <f t="shared" si="13"/>
        <v>-2.5056101116852747</v>
      </c>
      <c r="I133" s="200">
        <f t="shared" si="14"/>
        <v>1.8736842543399135</v>
      </c>
      <c r="J133" s="306"/>
      <c r="K133" s="306"/>
    </row>
    <row r="134" spans="1:11" ht="14.5" x14ac:dyDescent="0.35">
      <c r="A134" s="236" t="s">
        <v>554</v>
      </c>
      <c r="B134" s="235">
        <v>9.2099454299999852</v>
      </c>
      <c r="C134" s="203">
        <f t="shared" si="10"/>
        <v>5.321175118629428E-2</v>
      </c>
      <c r="D134" s="235">
        <v>14.549129269999987</v>
      </c>
      <c r="E134" s="203">
        <f t="shared" si="11"/>
        <v>9.048818374596293E-2</v>
      </c>
      <c r="F134" s="235">
        <v>13.804248819999993</v>
      </c>
      <c r="G134" s="203">
        <f t="shared" si="12"/>
        <v>9.5781370344960343E-2</v>
      </c>
      <c r="H134" s="203">
        <f t="shared" si="13"/>
        <v>-5.1197596514309884</v>
      </c>
      <c r="I134" s="200">
        <f t="shared" si="14"/>
        <v>49.884154308176122</v>
      </c>
      <c r="J134" s="306"/>
      <c r="K134" s="306"/>
    </row>
    <row r="135" spans="1:11" ht="14.5" x14ac:dyDescent="0.35">
      <c r="A135" s="236" t="s">
        <v>670</v>
      </c>
      <c r="B135" s="235">
        <v>83.436917249999766</v>
      </c>
      <c r="C135" s="203">
        <f t="shared" si="10"/>
        <v>0.48206848935243035</v>
      </c>
      <c r="D135" s="235">
        <v>32.242491759999794</v>
      </c>
      <c r="E135" s="203">
        <f t="shared" si="11"/>
        <v>0.20053189882796055</v>
      </c>
      <c r="F135" s="235">
        <v>13.153706339999982</v>
      </c>
      <c r="G135" s="203">
        <f t="shared" si="12"/>
        <v>9.1267553547357161E-2</v>
      </c>
      <c r="H135" s="203">
        <f t="shared" si="13"/>
        <v>-59.203815766129651</v>
      </c>
      <c r="I135" s="200">
        <f t="shared" si="14"/>
        <v>-84.235148213125015</v>
      </c>
      <c r="J135" s="306"/>
      <c r="K135" s="306"/>
    </row>
    <row r="136" spans="1:11" ht="14.5" x14ac:dyDescent="0.35">
      <c r="A136" s="236" t="s">
        <v>501</v>
      </c>
      <c r="B136" s="235">
        <v>6.0258962599999801</v>
      </c>
      <c r="C136" s="203">
        <f t="shared" si="10"/>
        <v>3.4815460623368828E-2</v>
      </c>
      <c r="D136" s="235">
        <v>9.1464843899999835</v>
      </c>
      <c r="E136" s="203">
        <f t="shared" si="11"/>
        <v>5.6886480610114261E-2</v>
      </c>
      <c r="F136" s="235">
        <v>13.128230009999998</v>
      </c>
      <c r="G136" s="203">
        <f t="shared" si="12"/>
        <v>9.1090784942953015E-2</v>
      </c>
      <c r="H136" s="203">
        <f t="shared" si="13"/>
        <v>43.533071836358552</v>
      </c>
      <c r="I136" s="200">
        <f t="shared" si="14"/>
        <v>117.86352508498115</v>
      </c>
      <c r="J136" s="306"/>
      <c r="K136" s="306"/>
    </row>
    <row r="137" spans="1:11" ht="14.5" x14ac:dyDescent="0.35">
      <c r="A137" s="236" t="s">
        <v>535</v>
      </c>
      <c r="B137" s="235">
        <v>2223.0100387899897</v>
      </c>
      <c r="C137" s="203">
        <f t="shared" si="10"/>
        <v>12.843752220660825</v>
      </c>
      <c r="D137" s="235">
        <v>16.983188459999997</v>
      </c>
      <c r="E137" s="203">
        <f t="shared" si="11"/>
        <v>0.10562679384048103</v>
      </c>
      <c r="F137" s="235">
        <v>12.979445159999969</v>
      </c>
      <c r="G137" s="203">
        <f t="shared" si="12"/>
        <v>9.0058434903092455E-2</v>
      </c>
      <c r="H137" s="203">
        <f t="shared" si="13"/>
        <v>-23.574744574200114</v>
      </c>
      <c r="I137" s="200">
        <f t="shared" si="14"/>
        <v>-99.416131959212166</v>
      </c>
      <c r="J137" s="306"/>
      <c r="K137" s="306"/>
    </row>
    <row r="138" spans="1:11" ht="14.5" x14ac:dyDescent="0.35">
      <c r="A138" s="236" t="s">
        <v>643</v>
      </c>
      <c r="B138" s="235">
        <v>4.7157271599999966</v>
      </c>
      <c r="C138" s="203">
        <f t="shared" si="10"/>
        <v>2.7245774929675171E-2</v>
      </c>
      <c r="D138" s="235">
        <v>2.1148055499999967</v>
      </c>
      <c r="E138" s="203">
        <f t="shared" si="11"/>
        <v>1.3153014839862101E-2</v>
      </c>
      <c r="F138" s="235">
        <v>12.819091179999898</v>
      </c>
      <c r="G138" s="203">
        <f t="shared" si="12"/>
        <v>8.8945811960334228E-2</v>
      </c>
      <c r="H138" s="203">
        <f t="shared" si="13"/>
        <v>506.15933129170753</v>
      </c>
      <c r="I138" s="200">
        <f t="shared" si="14"/>
        <v>171.83699872916117</v>
      </c>
      <c r="J138" s="306"/>
      <c r="K138" s="306"/>
    </row>
    <row r="139" spans="1:11" ht="14.5" x14ac:dyDescent="0.35">
      <c r="A139" s="236" t="s">
        <v>594</v>
      </c>
      <c r="B139" s="235">
        <v>17.336492489999994</v>
      </c>
      <c r="C139" s="203">
        <f t="shared" si="10"/>
        <v>0.10016401637039239</v>
      </c>
      <c r="D139" s="235">
        <v>14.969470329999977</v>
      </c>
      <c r="E139" s="203">
        <f t="shared" si="11"/>
        <v>9.3102491335605497E-2</v>
      </c>
      <c r="F139" s="235">
        <v>12.550556319999989</v>
      </c>
      <c r="G139" s="203">
        <f t="shared" si="12"/>
        <v>8.7082571358721883E-2</v>
      </c>
      <c r="H139" s="203">
        <f t="shared" si="13"/>
        <v>-16.15898195911646</v>
      </c>
      <c r="I139" s="200">
        <f t="shared" si="14"/>
        <v>-27.606138743235519</v>
      </c>
      <c r="J139" s="306"/>
      <c r="K139" s="306"/>
    </row>
    <row r="140" spans="1:11" ht="14.5" x14ac:dyDescent="0.35">
      <c r="A140" s="236" t="s">
        <v>639</v>
      </c>
      <c r="B140" s="235">
        <v>10.690815999999996</v>
      </c>
      <c r="C140" s="203">
        <f t="shared" si="10"/>
        <v>6.1767688559524345E-2</v>
      </c>
      <c r="D140" s="235">
        <v>16.658938619999997</v>
      </c>
      <c r="E140" s="203">
        <f t="shared" si="11"/>
        <v>0.10361012476310749</v>
      </c>
      <c r="F140" s="235">
        <v>11.866155739999995</v>
      </c>
      <c r="G140" s="203">
        <f t="shared" si="12"/>
        <v>8.2333828687385036E-2</v>
      </c>
      <c r="H140" s="203">
        <f t="shared" si="13"/>
        <v>-28.770037451521645</v>
      </c>
      <c r="I140" s="200">
        <f t="shared" si="14"/>
        <v>10.993919828009368</v>
      </c>
      <c r="J140" s="306"/>
      <c r="K140" s="306"/>
    </row>
    <row r="141" spans="1:11" ht="14.5" x14ac:dyDescent="0.35">
      <c r="A141" s="236" t="s">
        <v>487</v>
      </c>
      <c r="B141" s="235">
        <v>13.076564609999977</v>
      </c>
      <c r="C141" s="203">
        <f t="shared" si="10"/>
        <v>7.5551685695364773E-2</v>
      </c>
      <c r="D141" s="235">
        <v>7.8737897499999825</v>
      </c>
      <c r="E141" s="203">
        <f t="shared" si="11"/>
        <v>4.8970967296593317E-2</v>
      </c>
      <c r="F141" s="235">
        <v>11.277655429999996</v>
      </c>
      <c r="G141" s="203">
        <f t="shared" si="12"/>
        <v>7.8250494137621834E-2</v>
      </c>
      <c r="H141" s="203">
        <f t="shared" si="13"/>
        <v>43.230334922265627</v>
      </c>
      <c r="I141" s="200">
        <f t="shared" si="14"/>
        <v>-13.7567414198704</v>
      </c>
      <c r="J141" s="306"/>
      <c r="K141" s="306"/>
    </row>
    <row r="142" spans="1:11" ht="14.5" x14ac:dyDescent="0.35">
      <c r="A142" s="236" t="s">
        <v>557</v>
      </c>
      <c r="B142" s="235">
        <v>14.97704243999997</v>
      </c>
      <c r="C142" s="203">
        <f t="shared" si="10"/>
        <v>8.6531962852666927E-2</v>
      </c>
      <c r="D142" s="235">
        <v>28.950569129999952</v>
      </c>
      <c r="E142" s="203">
        <f t="shared" si="11"/>
        <v>0.18005781448291716</v>
      </c>
      <c r="F142" s="235">
        <v>11.15691401999999</v>
      </c>
      <c r="G142" s="203">
        <f t="shared" si="12"/>
        <v>7.7412724704602934E-2</v>
      </c>
      <c r="H142" s="203">
        <f t="shared" si="13"/>
        <v>-61.462194508505654</v>
      </c>
      <c r="I142" s="200">
        <f t="shared" si="14"/>
        <v>-25.506560693167057</v>
      </c>
      <c r="J142" s="306"/>
      <c r="K142" s="306"/>
    </row>
    <row r="143" spans="1:11" ht="14.5" x14ac:dyDescent="0.35">
      <c r="A143" s="236" t="s">
        <v>661</v>
      </c>
      <c r="B143" s="235">
        <v>3.3918534200000003</v>
      </c>
      <c r="C143" s="203">
        <f t="shared" si="10"/>
        <v>1.9596908756648476E-2</v>
      </c>
      <c r="D143" s="235">
        <v>9.8840283499999995</v>
      </c>
      <c r="E143" s="203">
        <f t="shared" si="11"/>
        <v>6.147362889470756E-2</v>
      </c>
      <c r="F143" s="235">
        <v>11.102129859999987</v>
      </c>
      <c r="G143" s="203">
        <f t="shared" si="12"/>
        <v>7.7032602469310027E-2</v>
      </c>
      <c r="H143" s="203">
        <f t="shared" si="13"/>
        <v>12.323937840586918</v>
      </c>
      <c r="I143" s="200">
        <f t="shared" si="14"/>
        <v>227.31750123801007</v>
      </c>
      <c r="J143" s="306"/>
      <c r="K143" s="306"/>
    </row>
    <row r="144" spans="1:11" ht="14.5" x14ac:dyDescent="0.35">
      <c r="A144" s="236" t="s">
        <v>650</v>
      </c>
      <c r="B144" s="235">
        <v>7.0309069399999897</v>
      </c>
      <c r="C144" s="203">
        <f t="shared" si="10"/>
        <v>4.0622050754677459E-2</v>
      </c>
      <c r="D144" s="235">
        <v>8.7314565200000001</v>
      </c>
      <c r="E144" s="203">
        <f t="shared" si="11"/>
        <v>5.4305218359754576E-2</v>
      </c>
      <c r="F144" s="235">
        <v>10.448114860000002</v>
      </c>
      <c r="G144" s="203">
        <f t="shared" si="12"/>
        <v>7.2494691443293208E-2</v>
      </c>
      <c r="H144" s="203">
        <f t="shared" si="13"/>
        <v>19.66061831800776</v>
      </c>
      <c r="I144" s="200">
        <f t="shared" si="14"/>
        <v>48.602661778368208</v>
      </c>
      <c r="J144" s="306"/>
      <c r="K144" s="306"/>
    </row>
    <row r="145" spans="1:11" ht="14.5" x14ac:dyDescent="0.35">
      <c r="A145" s="236" t="s">
        <v>485</v>
      </c>
      <c r="B145" s="235">
        <v>18.154167839999992</v>
      </c>
      <c r="C145" s="203">
        <f t="shared" si="10"/>
        <v>0.10488825036353192</v>
      </c>
      <c r="D145" s="235">
        <v>19.001552899999982</v>
      </c>
      <c r="E145" s="203">
        <f t="shared" si="11"/>
        <v>0.11817999403024307</v>
      </c>
      <c r="F145" s="235">
        <v>10.364295739999976</v>
      </c>
      <c r="G145" s="203">
        <f t="shared" si="12"/>
        <v>7.1913108897267264E-2</v>
      </c>
      <c r="H145" s="203">
        <f t="shared" si="13"/>
        <v>-45.455533058037666</v>
      </c>
      <c r="I145" s="200">
        <f t="shared" si="14"/>
        <v>-42.909552057991874</v>
      </c>
      <c r="J145" s="306"/>
      <c r="K145" s="306"/>
    </row>
    <row r="146" spans="1:11" ht="14.5" x14ac:dyDescent="0.35">
      <c r="A146" s="236" t="s">
        <v>486</v>
      </c>
      <c r="B146" s="235">
        <v>10.577867109999996</v>
      </c>
      <c r="C146" s="203">
        <f t="shared" si="10"/>
        <v>6.111511050929283E-2</v>
      </c>
      <c r="D146" s="235">
        <v>2.5105761999999943</v>
      </c>
      <c r="E146" s="203">
        <f t="shared" si="11"/>
        <v>1.5614506976872923E-2</v>
      </c>
      <c r="F146" s="235">
        <v>10.33317687999998</v>
      </c>
      <c r="G146" s="203">
        <f t="shared" si="12"/>
        <v>7.1697189357331548E-2</v>
      </c>
      <c r="H146" s="203">
        <f t="shared" si="13"/>
        <v>311.58586941117352</v>
      </c>
      <c r="I146" s="200">
        <f t="shared" si="14"/>
        <v>-2.3132284368433176</v>
      </c>
      <c r="J146" s="306"/>
      <c r="K146" s="306"/>
    </row>
    <row r="147" spans="1:11" ht="14.5" x14ac:dyDescent="0.35">
      <c r="A147" s="236" t="s">
        <v>618</v>
      </c>
      <c r="B147" s="235">
        <v>36.296389869999899</v>
      </c>
      <c r="C147" s="203">
        <f t="shared" si="10"/>
        <v>0.20970748213468729</v>
      </c>
      <c r="D147" s="235">
        <v>43.431282729999978</v>
      </c>
      <c r="E147" s="203">
        <f t="shared" si="11"/>
        <v>0.27012048756063511</v>
      </c>
      <c r="F147" s="235">
        <v>10.20869695999999</v>
      </c>
      <c r="G147" s="203">
        <f t="shared" si="12"/>
        <v>7.083348011291718E-2</v>
      </c>
      <c r="H147" s="203">
        <f t="shared" si="13"/>
        <v>-76.494599472309915</v>
      </c>
      <c r="I147" s="200">
        <f t="shared" si="14"/>
        <v>-71.874070681509309</v>
      </c>
      <c r="J147" s="306"/>
      <c r="K147" s="306"/>
    </row>
    <row r="148" spans="1:11" ht="14.5" x14ac:dyDescent="0.35">
      <c r="A148" s="236" t="s">
        <v>569</v>
      </c>
      <c r="B148" s="235">
        <v>6.4962197299999973</v>
      </c>
      <c r="C148" s="203">
        <f t="shared" si="10"/>
        <v>3.7532820422395946E-2</v>
      </c>
      <c r="D148" s="235">
        <v>6.7476222399999841</v>
      </c>
      <c r="E148" s="203">
        <f t="shared" si="11"/>
        <v>4.1966778201666569E-2</v>
      </c>
      <c r="F148" s="235">
        <v>10.159974649999983</v>
      </c>
      <c r="G148" s="203">
        <f t="shared" si="12"/>
        <v>7.0495418282894851E-2</v>
      </c>
      <c r="H148" s="203">
        <f t="shared" si="13"/>
        <v>50.571183279519303</v>
      </c>
      <c r="I148" s="200">
        <f t="shared" si="14"/>
        <v>56.398260407980175</v>
      </c>
      <c r="J148" s="306"/>
      <c r="K148" s="306"/>
    </row>
    <row r="149" spans="1:11" ht="14.5" x14ac:dyDescent="0.35">
      <c r="A149" s="236" t="s">
        <v>489</v>
      </c>
      <c r="B149" s="235">
        <v>0.56995850999999775</v>
      </c>
      <c r="C149" s="203">
        <f t="shared" si="10"/>
        <v>3.2930152139490957E-3</v>
      </c>
      <c r="D149" s="235">
        <v>4.1370707699999976</v>
      </c>
      <c r="E149" s="203">
        <f t="shared" si="11"/>
        <v>2.573047589711961E-2</v>
      </c>
      <c r="F149" s="235">
        <v>10.031272089999996</v>
      </c>
      <c r="G149" s="203">
        <f t="shared" si="12"/>
        <v>6.9602410070391252E-2</v>
      </c>
      <c r="H149" s="203">
        <f t="shared" si="13"/>
        <v>142.47281827378561</v>
      </c>
      <c r="I149" s="200">
        <f t="shared" si="14"/>
        <v>1660.0004059944706</v>
      </c>
      <c r="J149" s="306"/>
      <c r="K149" s="306"/>
    </row>
    <row r="150" spans="1:11" ht="14.5" x14ac:dyDescent="0.35">
      <c r="A150" s="236" t="s">
        <v>935</v>
      </c>
      <c r="B150" s="235">
        <v>10.563904239999973</v>
      </c>
      <c r="C150" s="203">
        <f t="shared" si="10"/>
        <v>6.1034438069924445E-2</v>
      </c>
      <c r="D150" s="235">
        <v>9.9414884899999709</v>
      </c>
      <c r="E150" s="203">
        <f t="shared" si="11"/>
        <v>6.1831001738806721E-2</v>
      </c>
      <c r="F150" s="235">
        <v>9.9580436499999827</v>
      </c>
      <c r="G150" s="203">
        <f t="shared" si="12"/>
        <v>6.9094311410124926E-2</v>
      </c>
      <c r="H150" s="203">
        <f t="shared" si="13"/>
        <v>0.1665259685877496</v>
      </c>
      <c r="I150" s="200">
        <f t="shared" si="14"/>
        <v>-5.7351957783365108</v>
      </c>
      <c r="J150" s="306"/>
      <c r="K150" s="306"/>
    </row>
    <row r="151" spans="1:11" ht="14.5" x14ac:dyDescent="0.35">
      <c r="A151" s="236" t="s">
        <v>696</v>
      </c>
      <c r="B151" s="235">
        <v>7.6274682599999988</v>
      </c>
      <c r="C151" s="203">
        <f t="shared" si="10"/>
        <v>4.4068767433780284E-2</v>
      </c>
      <c r="D151" s="235">
        <v>7.5879386299999982</v>
      </c>
      <c r="E151" s="203">
        <f t="shared" si="11"/>
        <v>4.7193118726377957E-2</v>
      </c>
      <c r="F151" s="235">
        <v>9.0799155999999872</v>
      </c>
      <c r="G151" s="203">
        <f t="shared" si="12"/>
        <v>6.3001382409490797E-2</v>
      </c>
      <c r="H151" s="203">
        <f t="shared" si="13"/>
        <v>19.662480717770237</v>
      </c>
      <c r="I151" s="200">
        <f t="shared" si="14"/>
        <v>19.042325585501541</v>
      </c>
      <c r="J151" s="306"/>
      <c r="K151" s="306"/>
    </row>
    <row r="152" spans="1:11" ht="14.5" x14ac:dyDescent="0.35">
      <c r="A152" s="236" t="s">
        <v>646</v>
      </c>
      <c r="B152" s="235">
        <v>5.993012429999979</v>
      </c>
      <c r="C152" s="203">
        <f t="shared" si="10"/>
        <v>3.4625469684409216E-2</v>
      </c>
      <c r="D152" s="235">
        <v>4.672910819999978</v>
      </c>
      <c r="E152" s="203">
        <f t="shared" si="11"/>
        <v>2.9063128456803977E-2</v>
      </c>
      <c r="F152" s="235">
        <v>8.7897720799999863</v>
      </c>
      <c r="G152" s="203">
        <f t="shared" si="12"/>
        <v>6.0988209197048622E-2</v>
      </c>
      <c r="H152" s="203">
        <f t="shared" si="13"/>
        <v>88.100574108538794</v>
      </c>
      <c r="I152" s="200">
        <f t="shared" si="14"/>
        <v>46.66700899867844</v>
      </c>
      <c r="J152" s="306"/>
      <c r="K152" s="306"/>
    </row>
    <row r="153" spans="1:11" ht="14.5" x14ac:dyDescent="0.35">
      <c r="A153" s="236" t="s">
        <v>718</v>
      </c>
      <c r="B153" s="235">
        <v>7.6526553699999891</v>
      </c>
      <c r="C153" s="203">
        <f t="shared" si="10"/>
        <v>4.4214289493667375E-2</v>
      </c>
      <c r="D153" s="235">
        <v>8.3293843299999892</v>
      </c>
      <c r="E153" s="203">
        <f t="shared" si="11"/>
        <v>5.1804533849178179E-2</v>
      </c>
      <c r="F153" s="235">
        <v>8.2925672499999994</v>
      </c>
      <c r="G153" s="203">
        <f t="shared" si="12"/>
        <v>5.75383322366642E-2</v>
      </c>
      <c r="H153" s="203">
        <f t="shared" si="13"/>
        <v>-0.44201442197097096</v>
      </c>
      <c r="I153" s="200">
        <f t="shared" si="14"/>
        <v>8.3619586804940749</v>
      </c>
      <c r="J153" s="306"/>
      <c r="K153" s="306"/>
    </row>
    <row r="154" spans="1:11" ht="14.5" x14ac:dyDescent="0.35">
      <c r="A154" s="236" t="s">
        <v>588</v>
      </c>
      <c r="B154" s="235">
        <v>10.660120649999982</v>
      </c>
      <c r="C154" s="203">
        <f t="shared" si="10"/>
        <v>6.1590341870644244E-2</v>
      </c>
      <c r="D154" s="235">
        <v>13.503776919999995</v>
      </c>
      <c r="E154" s="203">
        <f t="shared" si="11"/>
        <v>8.398662384016703E-2</v>
      </c>
      <c r="F154" s="235">
        <v>8.2824772099999979</v>
      </c>
      <c r="G154" s="203">
        <f t="shared" si="12"/>
        <v>5.7468322062938886E-2</v>
      </c>
      <c r="H154" s="203">
        <f t="shared" si="13"/>
        <v>-38.665476636146913</v>
      </c>
      <c r="I154" s="200">
        <f t="shared" si="14"/>
        <v>-22.304095029168248</v>
      </c>
      <c r="J154" s="306"/>
      <c r="K154" s="306"/>
    </row>
    <row r="155" spans="1:11" ht="14.5" x14ac:dyDescent="0.35">
      <c r="A155" s="236" t="s">
        <v>580</v>
      </c>
      <c r="B155" s="235">
        <v>10.128149489999982</v>
      </c>
      <c r="C155" s="203">
        <f t="shared" si="10"/>
        <v>5.8516803898095764E-2</v>
      </c>
      <c r="D155" s="235">
        <v>9.0970113799999819</v>
      </c>
      <c r="E155" s="203">
        <f t="shared" si="11"/>
        <v>5.6578783652016781E-2</v>
      </c>
      <c r="F155" s="235">
        <v>8.201975459999991</v>
      </c>
      <c r="G155" s="203">
        <f t="shared" si="12"/>
        <v>5.6909757230421763E-2</v>
      </c>
      <c r="H155" s="203">
        <f t="shared" si="13"/>
        <v>-9.8387908139562334</v>
      </c>
      <c r="I155" s="200">
        <f t="shared" si="14"/>
        <v>-19.018025276007201</v>
      </c>
      <c r="J155" s="306"/>
      <c r="K155" s="306"/>
    </row>
    <row r="156" spans="1:11" ht="14.5" x14ac:dyDescent="0.35">
      <c r="A156" s="236" t="s">
        <v>499</v>
      </c>
      <c r="B156" s="235">
        <v>10.066469279999989</v>
      </c>
      <c r="C156" s="203">
        <f t="shared" si="10"/>
        <v>5.8160437835714215E-2</v>
      </c>
      <c r="D156" s="235">
        <v>9.4401057099999992</v>
      </c>
      <c r="E156" s="203">
        <f t="shared" si="11"/>
        <v>5.8712655872071619E-2</v>
      </c>
      <c r="F156" s="235">
        <v>7.5630171299999871</v>
      </c>
      <c r="G156" s="203">
        <f t="shared" si="12"/>
        <v>5.2476317552627841E-2</v>
      </c>
      <c r="H156" s="203">
        <f t="shared" si="13"/>
        <v>-19.88419025871282</v>
      </c>
      <c r="I156" s="200">
        <f t="shared" si="14"/>
        <v>-24.869217601188609</v>
      </c>
      <c r="J156" s="306"/>
      <c r="K156" s="306"/>
    </row>
    <row r="157" spans="1:11" ht="14.5" x14ac:dyDescent="0.35">
      <c r="A157" s="236" t="s">
        <v>603</v>
      </c>
      <c r="B157" s="235">
        <v>5.5080992499999955</v>
      </c>
      <c r="C157" s="203">
        <f t="shared" si="10"/>
        <v>3.1823815790015419E-2</v>
      </c>
      <c r="D157" s="235">
        <v>6.2321551399999837</v>
      </c>
      <c r="E157" s="203">
        <f t="shared" si="11"/>
        <v>3.8760835028422723E-2</v>
      </c>
      <c r="F157" s="235">
        <v>7.4293095299999958</v>
      </c>
      <c r="G157" s="203">
        <f t="shared" si="12"/>
        <v>5.1548581656200049E-2</v>
      </c>
      <c r="H157" s="203">
        <f t="shared" si="13"/>
        <v>19.209316249467044</v>
      </c>
      <c r="I157" s="200">
        <f t="shared" si="14"/>
        <v>34.879732423122213</v>
      </c>
      <c r="J157" s="306"/>
      <c r="K157" s="306"/>
    </row>
    <row r="158" spans="1:11" ht="14.5" x14ac:dyDescent="0.35">
      <c r="A158" s="236" t="s">
        <v>596</v>
      </c>
      <c r="B158" s="235">
        <v>7.2277899899999882</v>
      </c>
      <c r="C158" s="203">
        <f t="shared" si="10"/>
        <v>4.1759570183975386E-2</v>
      </c>
      <c r="D158" s="235">
        <v>7.4386444499999795</v>
      </c>
      <c r="E158" s="203">
        <f t="shared" si="11"/>
        <v>4.6264584864224391E-2</v>
      </c>
      <c r="F158" s="235">
        <v>7.1980073799999884</v>
      </c>
      <c r="G158" s="203">
        <f t="shared" si="12"/>
        <v>4.9943681804015538E-2</v>
      </c>
      <c r="H158" s="203">
        <f t="shared" si="13"/>
        <v>-3.2349586220644211</v>
      </c>
      <c r="I158" s="200">
        <f t="shared" si="14"/>
        <v>-0.4120569363692872</v>
      </c>
      <c r="J158" s="306"/>
      <c r="K158" s="306"/>
    </row>
    <row r="159" spans="1:11" ht="14.5" x14ac:dyDescent="0.35">
      <c r="A159" s="236" t="s">
        <v>573</v>
      </c>
      <c r="B159" s="235">
        <v>21.207314109999981</v>
      </c>
      <c r="C159" s="203">
        <f t="shared" si="10"/>
        <v>0.12252823106584994</v>
      </c>
      <c r="D159" s="235">
        <v>9.2214305399999912</v>
      </c>
      <c r="E159" s="203">
        <f t="shared" si="11"/>
        <v>5.7352607542276245E-2</v>
      </c>
      <c r="F159" s="235">
        <v>7.1282703399999896</v>
      </c>
      <c r="G159" s="203">
        <f t="shared" si="12"/>
        <v>4.9459808371849955E-2</v>
      </c>
      <c r="H159" s="203">
        <f t="shared" si="13"/>
        <v>-22.698866416880303</v>
      </c>
      <c r="I159" s="200">
        <f t="shared" si="14"/>
        <v>-66.387679726784626</v>
      </c>
      <c r="J159" s="306"/>
      <c r="K159" s="306"/>
    </row>
    <row r="160" spans="1:11" ht="14.5" x14ac:dyDescent="0.35">
      <c r="A160" s="236" t="s">
        <v>616</v>
      </c>
      <c r="B160" s="235">
        <v>5.0317705499999867</v>
      </c>
      <c r="C160" s="203">
        <f t="shared" si="10"/>
        <v>2.9071759932580057E-2</v>
      </c>
      <c r="D160" s="235">
        <v>2.2208409299999987</v>
      </c>
      <c r="E160" s="203">
        <f t="shared" si="11"/>
        <v>1.3812500969303384E-2</v>
      </c>
      <c r="F160" s="235">
        <v>6.9643147999999897</v>
      </c>
      <c r="G160" s="203">
        <f t="shared" si="12"/>
        <v>4.8322195851124031E-2</v>
      </c>
      <c r="H160" s="203">
        <f t="shared" si="13"/>
        <v>213.58908717518972</v>
      </c>
      <c r="I160" s="200">
        <f t="shared" si="14"/>
        <v>38.406843690438322</v>
      </c>
      <c r="J160" s="306"/>
      <c r="K160" s="306"/>
    </row>
    <row r="161" spans="1:11" ht="14.5" x14ac:dyDescent="0.35">
      <c r="A161" s="236" t="s">
        <v>600</v>
      </c>
      <c r="B161" s="235">
        <v>7.2266730299999828</v>
      </c>
      <c r="C161" s="203">
        <f t="shared" si="10"/>
        <v>4.175311679094966E-2</v>
      </c>
      <c r="D161" s="235">
        <v>6.4484307299999903</v>
      </c>
      <c r="E161" s="203">
        <f t="shared" si="11"/>
        <v>4.0105959191147768E-2</v>
      </c>
      <c r="F161" s="235">
        <v>6.3690055599999926</v>
      </c>
      <c r="G161" s="203">
        <f t="shared" si="12"/>
        <v>4.4191617249584696E-2</v>
      </c>
      <c r="H161" s="203">
        <f t="shared" si="13"/>
        <v>-1.2316976536708157</v>
      </c>
      <c r="I161" s="200">
        <f t="shared" si="14"/>
        <v>-11.86808184678576</v>
      </c>
      <c r="J161" s="306"/>
      <c r="K161" s="306"/>
    </row>
    <row r="162" spans="1:11" ht="14.5" x14ac:dyDescent="0.35">
      <c r="A162" s="236" t="s">
        <v>575</v>
      </c>
      <c r="B162" s="235">
        <v>0.51598147999999977</v>
      </c>
      <c r="C162" s="203">
        <f t="shared" si="10"/>
        <v>2.9811553541958294E-3</v>
      </c>
      <c r="D162" s="235">
        <v>0.71872680999999894</v>
      </c>
      <c r="E162" s="203">
        <f t="shared" si="11"/>
        <v>4.4701151828056953E-3</v>
      </c>
      <c r="F162" s="235">
        <v>6.1649585300000016</v>
      </c>
      <c r="G162" s="203">
        <f t="shared" si="12"/>
        <v>4.277582821223392E-2</v>
      </c>
      <c r="H162" s="203">
        <f t="shared" si="13"/>
        <v>757.76103579606422</v>
      </c>
      <c r="I162" s="200">
        <f t="shared" si="14"/>
        <v>1094.8022882526723</v>
      </c>
      <c r="J162" s="306"/>
      <c r="K162" s="306"/>
    </row>
    <row r="163" spans="1:11" ht="14.5" x14ac:dyDescent="0.35">
      <c r="A163" s="236" t="s">
        <v>530</v>
      </c>
      <c r="B163" s="235">
        <v>8.5449146399999911</v>
      </c>
      <c r="C163" s="203">
        <f t="shared" si="10"/>
        <v>4.9369442543136063E-2</v>
      </c>
      <c r="D163" s="235">
        <v>7.4262061899999896</v>
      </c>
      <c r="E163" s="203">
        <f t="shared" si="11"/>
        <v>4.6187225213658915E-2</v>
      </c>
      <c r="F163" s="235">
        <v>5.9465390499999993</v>
      </c>
      <c r="G163" s="203">
        <f t="shared" si="12"/>
        <v>4.1260315316369305E-2</v>
      </c>
      <c r="H163" s="203">
        <f t="shared" si="13"/>
        <v>-19.924940166521189</v>
      </c>
      <c r="I163" s="200">
        <f t="shared" si="14"/>
        <v>-30.408444080138807</v>
      </c>
      <c r="J163" s="306"/>
      <c r="K163" s="306"/>
    </row>
    <row r="164" spans="1:11" ht="14.5" x14ac:dyDescent="0.35">
      <c r="A164" s="236" t="s">
        <v>632</v>
      </c>
      <c r="B164" s="235">
        <v>4.5049075199999988</v>
      </c>
      <c r="C164" s="203">
        <f t="shared" si="10"/>
        <v>2.6027734897394107E-2</v>
      </c>
      <c r="D164" s="235">
        <v>3.4906526999999974</v>
      </c>
      <c r="E164" s="203">
        <f t="shared" si="11"/>
        <v>2.17100842977761E-2</v>
      </c>
      <c r="F164" s="235">
        <v>5.8042881199999892</v>
      </c>
      <c r="G164" s="203">
        <f t="shared" si="12"/>
        <v>4.0273301159647806E-2</v>
      </c>
      <c r="H164" s="203">
        <f t="shared" si="13"/>
        <v>66.280882655555899</v>
      </c>
      <c r="I164" s="200">
        <f t="shared" si="14"/>
        <v>28.843668693114278</v>
      </c>
      <c r="J164" s="306"/>
      <c r="K164" s="306"/>
    </row>
    <row r="165" spans="1:11" ht="14.5" x14ac:dyDescent="0.35">
      <c r="A165" s="236" t="s">
        <v>567</v>
      </c>
      <c r="B165" s="235">
        <v>2.5030059199999974</v>
      </c>
      <c r="C165" s="203">
        <f t="shared" si="10"/>
        <v>1.4461467686770181E-2</v>
      </c>
      <c r="D165" s="235">
        <v>9.0220494799999873</v>
      </c>
      <c r="E165" s="203">
        <f t="shared" si="11"/>
        <v>5.6112558762866013E-2</v>
      </c>
      <c r="F165" s="235">
        <v>5.793007719999987</v>
      </c>
      <c r="G165" s="203">
        <f t="shared" si="12"/>
        <v>4.0195031622193941E-2</v>
      </c>
      <c r="H165" s="203">
        <f t="shared" si="13"/>
        <v>-35.790556981073053</v>
      </c>
      <c r="I165" s="200">
        <f t="shared" si="14"/>
        <v>131.44203030890128</v>
      </c>
      <c r="J165" s="306"/>
      <c r="K165" s="306"/>
    </row>
    <row r="166" spans="1:11" ht="14.5" x14ac:dyDescent="0.35">
      <c r="A166" s="236" t="s">
        <v>509</v>
      </c>
      <c r="B166" s="235">
        <v>5.4606488999999865</v>
      </c>
      <c r="C166" s="203">
        <f t="shared" si="10"/>
        <v>3.1549664739165699E-2</v>
      </c>
      <c r="D166" s="235">
        <v>6.0024000299999862</v>
      </c>
      <c r="E166" s="203">
        <f t="shared" si="11"/>
        <v>3.7331875107561856E-2</v>
      </c>
      <c r="F166" s="235">
        <v>5.2553602199999885</v>
      </c>
      <c r="G166" s="203">
        <f t="shared" si="12"/>
        <v>3.6464541467747282E-2</v>
      </c>
      <c r="H166" s="203">
        <f t="shared" si="13"/>
        <v>-12.445685163706088</v>
      </c>
      <c r="I166" s="200">
        <f t="shared" si="14"/>
        <v>-3.7594191415602385</v>
      </c>
      <c r="J166" s="306"/>
      <c r="K166" s="306"/>
    </row>
    <row r="167" spans="1:11" ht="14.5" x14ac:dyDescent="0.35">
      <c r="A167" s="236" t="s">
        <v>592</v>
      </c>
      <c r="B167" s="235">
        <v>9.2052732799999752</v>
      </c>
      <c r="C167" s="203">
        <f t="shared" si="10"/>
        <v>5.3184757184517054E-2</v>
      </c>
      <c r="D167" s="235">
        <v>3.1168177599999964</v>
      </c>
      <c r="E167" s="203">
        <f t="shared" si="11"/>
        <v>1.9385021119518894E-2</v>
      </c>
      <c r="F167" s="235">
        <v>5.0099687099999874</v>
      </c>
      <c r="G167" s="203">
        <f t="shared" si="12"/>
        <v>3.4761881989111544E-2</v>
      </c>
      <c r="H167" s="203">
        <f t="shared" si="13"/>
        <v>60.739866613182848</v>
      </c>
      <c r="I167" s="200">
        <f t="shared" si="14"/>
        <v>-45.57501382511915</v>
      </c>
      <c r="J167" s="306"/>
      <c r="K167" s="306"/>
    </row>
    <row r="168" spans="1:11" ht="14.5" x14ac:dyDescent="0.35">
      <c r="A168" s="236" t="s">
        <v>724</v>
      </c>
      <c r="B168" s="235">
        <v>4.0801232399999998</v>
      </c>
      <c r="C168" s="203">
        <f t="shared" si="10"/>
        <v>2.3573484154324375E-2</v>
      </c>
      <c r="D168" s="235">
        <v>3.0825524899999994</v>
      </c>
      <c r="E168" s="203">
        <f t="shared" si="11"/>
        <v>1.9171908568910236E-2</v>
      </c>
      <c r="F168" s="235">
        <v>4.9774094599999907</v>
      </c>
      <c r="G168" s="203">
        <f t="shared" si="12"/>
        <v>3.4535968241607547E-2</v>
      </c>
      <c r="H168" s="203">
        <f t="shared" si="13"/>
        <v>61.470387808383805</v>
      </c>
      <c r="I168" s="200">
        <f t="shared" si="14"/>
        <v>21.991645036682538</v>
      </c>
      <c r="J168" s="306"/>
      <c r="K168" s="306"/>
    </row>
    <row r="169" spans="1:11" ht="14.5" x14ac:dyDescent="0.35">
      <c r="A169" s="236" t="s">
        <v>561</v>
      </c>
      <c r="B169" s="235">
        <v>6.1778249699999899</v>
      </c>
      <c r="C169" s="203">
        <f t="shared" si="10"/>
        <v>3.5693250049595129E-2</v>
      </c>
      <c r="D169" s="235">
        <v>7.544486279999993</v>
      </c>
      <c r="E169" s="203">
        <f t="shared" si="11"/>
        <v>4.6922867211113606E-2</v>
      </c>
      <c r="F169" s="235">
        <v>4.7333034199999942</v>
      </c>
      <c r="G169" s="203">
        <f t="shared" si="12"/>
        <v>3.2842228051499806E-2</v>
      </c>
      <c r="H169" s="203">
        <f t="shared" si="13"/>
        <v>-37.261421860521985</v>
      </c>
      <c r="I169" s="200">
        <f t="shared" si="14"/>
        <v>-23.382364456984572</v>
      </c>
      <c r="J169" s="306"/>
      <c r="K169" s="306"/>
    </row>
    <row r="170" spans="1:11" ht="14.5" x14ac:dyDescent="0.35">
      <c r="A170" s="236" t="s">
        <v>623</v>
      </c>
      <c r="B170" s="235">
        <v>15.467430479999988</v>
      </c>
      <c r="C170" s="203">
        <f t="shared" si="10"/>
        <v>8.936524851842309E-2</v>
      </c>
      <c r="D170" s="235">
        <v>8.7662273999999893</v>
      </c>
      <c r="E170" s="203">
        <f t="shared" si="11"/>
        <v>5.4521475547388169E-2</v>
      </c>
      <c r="F170" s="235">
        <v>4.6567663299999982</v>
      </c>
      <c r="G170" s="203">
        <f t="shared" si="12"/>
        <v>3.231117218181756E-2</v>
      </c>
      <c r="H170" s="203">
        <f t="shared" si="13"/>
        <v>-46.878330694455819</v>
      </c>
      <c r="I170" s="200">
        <f t="shared" si="14"/>
        <v>-69.8930838187934</v>
      </c>
      <c r="J170" s="306"/>
      <c r="K170" s="306"/>
    </row>
    <row r="171" spans="1:11" ht="14.5" x14ac:dyDescent="0.35">
      <c r="A171" s="236" t="s">
        <v>595</v>
      </c>
      <c r="B171" s="235">
        <v>12.631664569999991</v>
      </c>
      <c r="C171" s="203">
        <f t="shared" si="10"/>
        <v>7.2981213328162958E-2</v>
      </c>
      <c r="D171" s="235">
        <v>7.44147379999999</v>
      </c>
      <c r="E171" s="203">
        <f t="shared" si="11"/>
        <v>4.6282181982095251E-2</v>
      </c>
      <c r="F171" s="235">
        <v>4.5706791499999895</v>
      </c>
      <c r="G171" s="203">
        <f t="shared" si="12"/>
        <v>3.1713852604559022E-2</v>
      </c>
      <c r="H171" s="203">
        <f t="shared" si="13"/>
        <v>-38.578307565901859</v>
      </c>
      <c r="I171" s="200">
        <f t="shared" si="14"/>
        <v>-63.815702002923011</v>
      </c>
      <c r="J171" s="306"/>
      <c r="K171" s="306"/>
    </row>
    <row r="172" spans="1:11" ht="14.5" x14ac:dyDescent="0.35">
      <c r="A172" s="236" t="s">
        <v>652</v>
      </c>
      <c r="B172" s="235">
        <v>11.337622909999991</v>
      </c>
      <c r="C172" s="203">
        <f t="shared" si="10"/>
        <v>6.5504706180539246E-2</v>
      </c>
      <c r="D172" s="235">
        <v>5.1260171399999797</v>
      </c>
      <c r="E172" s="203">
        <f t="shared" si="11"/>
        <v>3.1881219297824955E-2</v>
      </c>
      <c r="F172" s="235">
        <v>4.4977940299999908</v>
      </c>
      <c r="G172" s="203">
        <f t="shared" si="12"/>
        <v>3.1208136084784149E-2</v>
      </c>
      <c r="H172" s="203">
        <f t="shared" si="13"/>
        <v>-12.255579582396624</v>
      </c>
      <c r="I172" s="200">
        <f t="shared" si="14"/>
        <v>-60.328597399082184</v>
      </c>
      <c r="J172" s="306"/>
      <c r="K172" s="306"/>
    </row>
    <row r="173" spans="1:11" ht="14.5" x14ac:dyDescent="0.35">
      <c r="A173" s="236" t="s">
        <v>550</v>
      </c>
      <c r="B173" s="235">
        <v>3.9048213199999928</v>
      </c>
      <c r="C173" s="203">
        <f t="shared" si="10"/>
        <v>2.2560652729815049E-2</v>
      </c>
      <c r="D173" s="235">
        <v>1.7471252799999959</v>
      </c>
      <c r="E173" s="203">
        <f t="shared" si="11"/>
        <v>1.0866230578474797E-2</v>
      </c>
      <c r="F173" s="235">
        <v>3.9275493999999957</v>
      </c>
      <c r="G173" s="203">
        <f t="shared" si="12"/>
        <v>2.725146935083474E-2</v>
      </c>
      <c r="H173" s="203">
        <f t="shared" si="13"/>
        <v>124.80067371013055</v>
      </c>
      <c r="I173" s="200">
        <f t="shared" si="14"/>
        <v>0.58205172881002909</v>
      </c>
      <c r="J173" s="306"/>
      <c r="K173" s="306"/>
    </row>
    <row r="174" spans="1:11" ht="14.5" x14ac:dyDescent="0.35">
      <c r="A174" s="236" t="s">
        <v>507</v>
      </c>
      <c r="B174" s="235">
        <v>5.645786009999985</v>
      </c>
      <c r="C174" s="203">
        <f t="shared" si="10"/>
        <v>3.2619320353039362E-2</v>
      </c>
      <c r="D174" s="235">
        <v>2.777778949999997</v>
      </c>
      <c r="E174" s="203">
        <f t="shared" si="11"/>
        <v>1.7276372171052125E-2</v>
      </c>
      <c r="F174" s="235">
        <v>3.7251652499999981</v>
      </c>
      <c r="G174" s="203">
        <f t="shared" si="12"/>
        <v>2.5847218277425019E-2</v>
      </c>
      <c r="H174" s="203">
        <f t="shared" si="13"/>
        <v>34.105892407313476</v>
      </c>
      <c r="I174" s="200">
        <f t="shared" si="14"/>
        <v>-34.018660229029685</v>
      </c>
      <c r="J174" s="306"/>
      <c r="K174" s="306"/>
    </row>
    <row r="175" spans="1:11" ht="14.5" x14ac:dyDescent="0.35">
      <c r="A175" s="236" t="s">
        <v>672</v>
      </c>
      <c r="B175" s="235">
        <v>3.4090387199999959</v>
      </c>
      <c r="C175" s="203">
        <f t="shared" si="10"/>
        <v>1.9696199237206904E-2</v>
      </c>
      <c r="D175" s="235">
        <v>3.5372814599999951</v>
      </c>
      <c r="E175" s="203">
        <f t="shared" si="11"/>
        <v>2.2000091467581539E-2</v>
      </c>
      <c r="F175" s="235">
        <v>3.6834439299999961</v>
      </c>
      <c r="G175" s="203">
        <f t="shared" si="12"/>
        <v>2.5557733115696334E-2</v>
      </c>
      <c r="H175" s="203">
        <f t="shared" si="13"/>
        <v>4.1320565426535616</v>
      </c>
      <c r="I175" s="200">
        <f t="shared" si="14"/>
        <v>8.0493427191111735</v>
      </c>
      <c r="J175" s="306"/>
      <c r="K175" s="306"/>
    </row>
    <row r="176" spans="1:11" ht="14.5" x14ac:dyDescent="0.35">
      <c r="A176" s="236" t="s">
        <v>977</v>
      </c>
      <c r="B176" s="235">
        <v>7.1038478899999946</v>
      </c>
      <c r="C176" s="203">
        <f t="shared" si="10"/>
        <v>4.1043477321446184E-2</v>
      </c>
      <c r="D176" s="235">
        <v>12.11192462</v>
      </c>
      <c r="E176" s="203">
        <f t="shared" si="11"/>
        <v>7.5330010490161331E-2</v>
      </c>
      <c r="F176" s="235">
        <v>3.6656344299999883</v>
      </c>
      <c r="G176" s="203">
        <f t="shared" si="12"/>
        <v>2.5434161138879464E-2</v>
      </c>
      <c r="H176" s="203">
        <f t="shared" si="13"/>
        <v>-69.735326589243684</v>
      </c>
      <c r="I176" s="200">
        <f t="shared" si="14"/>
        <v>-48.39931137658423</v>
      </c>
      <c r="J176" s="306"/>
      <c r="K176" s="306"/>
    </row>
    <row r="177" spans="1:11" ht="14.5" x14ac:dyDescent="0.35">
      <c r="A177" s="236" t="s">
        <v>659</v>
      </c>
      <c r="B177" s="235">
        <v>4.5314895199999796</v>
      </c>
      <c r="C177" s="203">
        <f t="shared" si="10"/>
        <v>2.6181316129854571E-2</v>
      </c>
      <c r="D177" s="235">
        <v>6.6801437099999976</v>
      </c>
      <c r="E177" s="203">
        <f t="shared" si="11"/>
        <v>4.1547096067551734E-2</v>
      </c>
      <c r="F177" s="235">
        <v>3.6308265299999896</v>
      </c>
      <c r="G177" s="203">
        <f t="shared" si="12"/>
        <v>2.5192645037257193E-2</v>
      </c>
      <c r="H177" s="203">
        <f t="shared" si="13"/>
        <v>-45.64747874263935</v>
      </c>
      <c r="I177" s="200">
        <f t="shared" si="14"/>
        <v>-19.875649850338707</v>
      </c>
      <c r="J177" s="306"/>
      <c r="K177" s="306"/>
    </row>
    <row r="178" spans="1:11" ht="14.5" x14ac:dyDescent="0.35">
      <c r="A178" s="236" t="s">
        <v>602</v>
      </c>
      <c r="B178" s="235">
        <v>4.0516339299999897</v>
      </c>
      <c r="C178" s="203">
        <f t="shared" si="10"/>
        <v>2.340888317088622E-2</v>
      </c>
      <c r="D178" s="235">
        <v>2.9753929299999982</v>
      </c>
      <c r="E178" s="203">
        <f t="shared" si="11"/>
        <v>1.8505430611675297E-2</v>
      </c>
      <c r="F178" s="235">
        <v>3.4488990899999976</v>
      </c>
      <c r="G178" s="203">
        <f t="shared" si="12"/>
        <v>2.3930333720374557E-2</v>
      </c>
      <c r="H178" s="203">
        <f t="shared" si="13"/>
        <v>15.914071557600963</v>
      </c>
      <c r="I178" s="200">
        <f t="shared" si="14"/>
        <v>-14.876340025121515</v>
      </c>
      <c r="J178" s="306"/>
      <c r="K178" s="306"/>
    </row>
    <row r="179" spans="1:11" ht="14.5" x14ac:dyDescent="0.35">
      <c r="A179" s="236" t="s">
        <v>614</v>
      </c>
      <c r="B179" s="235">
        <v>3.2015801099999988</v>
      </c>
      <c r="C179" s="203">
        <f t="shared" si="10"/>
        <v>1.8497578027051226E-2</v>
      </c>
      <c r="D179" s="235">
        <v>2.1023726599999986</v>
      </c>
      <c r="E179" s="203">
        <f t="shared" si="11"/>
        <v>1.3075688587965161E-2</v>
      </c>
      <c r="F179" s="235">
        <v>3.3659390799999995</v>
      </c>
      <c r="G179" s="203">
        <f t="shared" si="12"/>
        <v>2.3354712145796808E-2</v>
      </c>
      <c r="H179" s="203">
        <f t="shared" si="13"/>
        <v>60.101924080386482</v>
      </c>
      <c r="I179" s="200">
        <f t="shared" si="14"/>
        <v>5.1336828801076262</v>
      </c>
      <c r="J179" s="306"/>
      <c r="K179" s="306"/>
    </row>
    <row r="180" spans="1:11" ht="14.5" x14ac:dyDescent="0.35">
      <c r="A180" s="236" t="s">
        <v>532</v>
      </c>
      <c r="B180" s="235">
        <v>8.5093649299999896</v>
      </c>
      <c r="C180" s="203">
        <f t="shared" si="10"/>
        <v>4.9164049108653469E-2</v>
      </c>
      <c r="D180" s="235">
        <v>0.5942991299999989</v>
      </c>
      <c r="E180" s="203">
        <f t="shared" si="11"/>
        <v>3.6962383024799293E-3</v>
      </c>
      <c r="F180" s="235">
        <v>2.9818572799999892</v>
      </c>
      <c r="G180" s="203">
        <f t="shared" si="12"/>
        <v>2.0689744163239099E-2</v>
      </c>
      <c r="H180" s="203">
        <f t="shared" si="13"/>
        <v>401.74350415084649</v>
      </c>
      <c r="I180" s="200">
        <f t="shared" si="14"/>
        <v>-64.957933940670799</v>
      </c>
      <c r="J180" s="306"/>
      <c r="K180" s="306"/>
    </row>
    <row r="181" spans="1:11" ht="14.5" x14ac:dyDescent="0.35">
      <c r="A181" s="236" t="s">
        <v>683</v>
      </c>
      <c r="B181" s="235">
        <v>1.2959439199999978</v>
      </c>
      <c r="C181" s="203">
        <f t="shared" si="10"/>
        <v>7.4874977215180789E-3</v>
      </c>
      <c r="D181" s="235">
        <v>2.1359850200000001</v>
      </c>
      <c r="E181" s="203">
        <f t="shared" si="11"/>
        <v>1.3284740370471976E-2</v>
      </c>
      <c r="F181" s="235">
        <v>2.8830559399999971</v>
      </c>
      <c r="G181" s="203">
        <f t="shared" si="12"/>
        <v>2.0004206843496873E-2</v>
      </c>
      <c r="H181" s="203">
        <f t="shared" si="13"/>
        <v>34.975475623887895</v>
      </c>
      <c r="I181" s="200">
        <f t="shared" si="14"/>
        <v>122.46764659384351</v>
      </c>
      <c r="J181" s="306"/>
      <c r="K181" s="306"/>
    </row>
    <row r="182" spans="1:11" ht="14.5" x14ac:dyDescent="0.35">
      <c r="A182" s="236" t="s">
        <v>708</v>
      </c>
      <c r="B182" s="235">
        <v>2.7534666099999892</v>
      </c>
      <c r="C182" s="203">
        <f t="shared" si="10"/>
        <v>1.5908539444091888E-2</v>
      </c>
      <c r="D182" s="235">
        <v>1.34493128</v>
      </c>
      <c r="E182" s="203">
        <f t="shared" si="11"/>
        <v>8.3647884716562988E-3</v>
      </c>
      <c r="F182" s="235">
        <v>2.8365029399999999</v>
      </c>
      <c r="G182" s="203">
        <f t="shared" si="12"/>
        <v>1.9681196863612388E-2</v>
      </c>
      <c r="H182" s="203">
        <f t="shared" si="13"/>
        <v>110.90318755914427</v>
      </c>
      <c r="I182" s="200">
        <f t="shared" si="14"/>
        <v>3.0157013598218763</v>
      </c>
      <c r="J182" s="306"/>
      <c r="K182" s="306"/>
    </row>
    <row r="183" spans="1:11" ht="14.5" x14ac:dyDescent="0.35">
      <c r="A183" s="236" t="s">
        <v>687</v>
      </c>
      <c r="B183" s="235">
        <v>1.7365122799999899</v>
      </c>
      <c r="C183" s="203">
        <f t="shared" si="10"/>
        <v>1.0032943200110165E-2</v>
      </c>
      <c r="D183" s="235">
        <v>0.73960078999999901</v>
      </c>
      <c r="E183" s="203">
        <f t="shared" si="11"/>
        <v>4.5999407210009146E-3</v>
      </c>
      <c r="F183" s="235">
        <v>2.7823780999999892</v>
      </c>
      <c r="G183" s="203">
        <f t="shared" si="12"/>
        <v>1.9305649348314646E-2</v>
      </c>
      <c r="H183" s="203">
        <f t="shared" si="13"/>
        <v>276.19999026772172</v>
      </c>
      <c r="I183" s="200">
        <f t="shared" si="14"/>
        <v>60.227954161084618</v>
      </c>
      <c r="J183" s="306"/>
      <c r="K183" s="306"/>
    </row>
    <row r="184" spans="1:11" ht="14.5" x14ac:dyDescent="0.35">
      <c r="A184" s="236" t="s">
        <v>534</v>
      </c>
      <c r="B184" s="235">
        <v>3.5760266499999966</v>
      </c>
      <c r="C184" s="203">
        <f t="shared" si="10"/>
        <v>2.0660995418662061E-2</v>
      </c>
      <c r="D184" s="235">
        <v>37.906911899999997</v>
      </c>
      <c r="E184" s="203">
        <f t="shared" si="11"/>
        <v>0.23576171093084469</v>
      </c>
      <c r="F184" s="235">
        <v>2.7764870799999892</v>
      </c>
      <c r="G184" s="203">
        <f t="shared" si="12"/>
        <v>1.926477425429924E-2</v>
      </c>
      <c r="H184" s="203">
        <f t="shared" si="13"/>
        <v>-92.675512351614202</v>
      </c>
      <c r="I184" s="200">
        <f t="shared" si="14"/>
        <v>-22.358322469437088</v>
      </c>
      <c r="J184" s="306"/>
      <c r="K184" s="306"/>
    </row>
    <row r="185" spans="1:11" ht="14.5" x14ac:dyDescent="0.35">
      <c r="A185" s="236" t="s">
        <v>637</v>
      </c>
      <c r="B185" s="235">
        <v>1.9750850699999987</v>
      </c>
      <c r="C185" s="203">
        <f t="shared" si="10"/>
        <v>1.1411330948201364E-2</v>
      </c>
      <c r="D185" s="235">
        <v>0.82404160999999909</v>
      </c>
      <c r="E185" s="203">
        <f t="shared" si="11"/>
        <v>5.1251196711649743E-3</v>
      </c>
      <c r="F185" s="235">
        <v>2.6538045999999986</v>
      </c>
      <c r="G185" s="203">
        <f t="shared" si="12"/>
        <v>1.841353662413623E-2</v>
      </c>
      <c r="H185" s="203">
        <f t="shared" si="13"/>
        <v>222.04740243638929</v>
      </c>
      <c r="I185" s="200">
        <f t="shared" si="14"/>
        <v>34.364065645030692</v>
      </c>
      <c r="J185" s="306"/>
      <c r="K185" s="306"/>
    </row>
    <row r="186" spans="1:11" ht="14.5" x14ac:dyDescent="0.35">
      <c r="A186" s="236" t="s">
        <v>549</v>
      </c>
      <c r="B186" s="235">
        <v>4.4842228999999989</v>
      </c>
      <c r="C186" s="203">
        <f t="shared" si="10"/>
        <v>2.590822660484355E-2</v>
      </c>
      <c r="D186" s="235">
        <v>1.7059561899999964</v>
      </c>
      <c r="E186" s="203">
        <f t="shared" si="11"/>
        <v>1.0610179779046163E-2</v>
      </c>
      <c r="F186" s="235">
        <v>2.6438110499999978</v>
      </c>
      <c r="G186" s="203">
        <f t="shared" si="12"/>
        <v>1.8344195950399305E-2</v>
      </c>
      <c r="H186" s="203">
        <f t="shared" si="13"/>
        <v>54.975319149315503</v>
      </c>
      <c r="I186" s="200">
        <f t="shared" si="14"/>
        <v>-41.041935047430435</v>
      </c>
      <c r="J186" s="306"/>
      <c r="K186" s="306"/>
    </row>
    <row r="187" spans="1:11" ht="14.5" x14ac:dyDescent="0.35">
      <c r="A187" s="236" t="s">
        <v>625</v>
      </c>
      <c r="B187" s="235">
        <v>0.75331536999999882</v>
      </c>
      <c r="C187" s="203">
        <f t="shared" si="10"/>
        <v>4.3523851838122365E-3</v>
      </c>
      <c r="D187" s="235">
        <v>4.4840357499999985</v>
      </c>
      <c r="E187" s="203">
        <f t="shared" si="11"/>
        <v>2.7888421591395134E-2</v>
      </c>
      <c r="F187" s="235">
        <v>2.5366043099999982</v>
      </c>
      <c r="G187" s="203">
        <f t="shared" si="12"/>
        <v>1.7600337403562722E-2</v>
      </c>
      <c r="H187" s="203">
        <f t="shared" si="13"/>
        <v>-43.430328136879837</v>
      </c>
      <c r="I187" s="200">
        <f t="shared" si="14"/>
        <v>236.72541554541789</v>
      </c>
      <c r="J187" s="306"/>
      <c r="K187" s="306"/>
    </row>
    <row r="188" spans="1:11" ht="14.5" x14ac:dyDescent="0.35">
      <c r="A188" s="236" t="s">
        <v>620</v>
      </c>
      <c r="B188" s="235">
        <v>0.9867068299999997</v>
      </c>
      <c r="C188" s="203">
        <f t="shared" si="10"/>
        <v>5.7008370712764616E-3</v>
      </c>
      <c r="D188" s="235">
        <v>3.9450093599999891</v>
      </c>
      <c r="E188" s="203">
        <f t="shared" si="11"/>
        <v>2.4535951617620271E-2</v>
      </c>
      <c r="F188" s="235">
        <v>2.5287133100000001</v>
      </c>
      <c r="G188" s="203">
        <f t="shared" si="12"/>
        <v>1.7545585362850672E-2</v>
      </c>
      <c r="H188" s="203">
        <f t="shared" si="13"/>
        <v>-35.900955378214697</v>
      </c>
      <c r="I188" s="200">
        <f t="shared" si="14"/>
        <v>156.2780790723827</v>
      </c>
      <c r="J188" s="306"/>
      <c r="K188" s="306"/>
    </row>
    <row r="189" spans="1:11" ht="14.5" x14ac:dyDescent="0.35">
      <c r="A189" s="236" t="s">
        <v>626</v>
      </c>
      <c r="B189" s="235">
        <v>2.4060406299999979</v>
      </c>
      <c r="C189" s="203">
        <f t="shared" si="10"/>
        <v>1.3901237126838745E-2</v>
      </c>
      <c r="D189" s="235">
        <v>1.7897801499999988</v>
      </c>
      <c r="E189" s="203">
        <f t="shared" si="11"/>
        <v>1.1131522173771785E-2</v>
      </c>
      <c r="F189" s="235">
        <v>2.224504199999997</v>
      </c>
      <c r="G189" s="203">
        <f t="shared" si="12"/>
        <v>1.5434817453118001E-2</v>
      </c>
      <c r="H189" s="203">
        <f t="shared" si="13"/>
        <v>24.289243011215579</v>
      </c>
      <c r="I189" s="200">
        <f t="shared" si="14"/>
        <v>-7.5450276165951902</v>
      </c>
      <c r="J189" s="306"/>
      <c r="K189" s="306"/>
    </row>
    <row r="190" spans="1:11" ht="14.5" x14ac:dyDescent="0.35">
      <c r="A190" s="236" t="s">
        <v>564</v>
      </c>
      <c r="B190" s="235">
        <v>3.1619403299999984</v>
      </c>
      <c r="C190" s="203">
        <f t="shared" si="10"/>
        <v>1.8268553639613629E-2</v>
      </c>
      <c r="D190" s="235">
        <v>3.4195680799999901</v>
      </c>
      <c r="E190" s="203">
        <f t="shared" si="11"/>
        <v>2.1267974118073733E-2</v>
      </c>
      <c r="F190" s="235">
        <v>2.214678189999999</v>
      </c>
      <c r="G190" s="203">
        <f t="shared" si="12"/>
        <v>1.536663926283071E-2</v>
      </c>
      <c r="H190" s="203">
        <f t="shared" si="13"/>
        <v>-35.235148469393671</v>
      </c>
      <c r="I190" s="200">
        <f t="shared" si="14"/>
        <v>-29.958254778324665</v>
      </c>
      <c r="J190" s="306"/>
      <c r="K190" s="306"/>
    </row>
    <row r="191" spans="1:11" ht="14.5" x14ac:dyDescent="0.35">
      <c r="A191" s="236" t="s">
        <v>640</v>
      </c>
      <c r="B191" s="235">
        <v>2.3844494499999982</v>
      </c>
      <c r="C191" s="203">
        <f t="shared" si="10"/>
        <v>1.3776491056765832E-2</v>
      </c>
      <c r="D191" s="235">
        <v>2.2247082699999954</v>
      </c>
      <c r="E191" s="203">
        <f t="shared" si="11"/>
        <v>1.3836553857007763E-2</v>
      </c>
      <c r="F191" s="235">
        <v>2.1625352099999993</v>
      </c>
      <c r="G191" s="203">
        <f t="shared" si="12"/>
        <v>1.5004842967835365E-2</v>
      </c>
      <c r="H191" s="203">
        <f t="shared" si="13"/>
        <v>-2.7946612523715886</v>
      </c>
      <c r="I191" s="200">
        <f t="shared" si="14"/>
        <v>-9.3067286454740827</v>
      </c>
      <c r="J191" s="306"/>
      <c r="K191" s="306"/>
    </row>
    <row r="192" spans="1:11" ht="14.5" x14ac:dyDescent="0.35">
      <c r="A192" s="236" t="s">
        <v>536</v>
      </c>
      <c r="B192" s="235">
        <v>1.8339948299999889</v>
      </c>
      <c r="C192" s="203">
        <f t="shared" si="10"/>
        <v>1.0596162302224373E-2</v>
      </c>
      <c r="D192" s="235">
        <v>5.5801757299999997</v>
      </c>
      <c r="E192" s="203">
        <f t="shared" si="11"/>
        <v>3.4705854723016231E-2</v>
      </c>
      <c r="F192" s="235">
        <v>2.1256741399999992</v>
      </c>
      <c r="G192" s="203">
        <f t="shared" si="12"/>
        <v>1.474908085842842E-2</v>
      </c>
      <c r="H192" s="203">
        <f t="shared" si="13"/>
        <v>-61.9066810284844</v>
      </c>
      <c r="I192" s="200">
        <f t="shared" si="14"/>
        <v>15.904042106815108</v>
      </c>
      <c r="J192" s="306"/>
      <c r="K192" s="306"/>
    </row>
    <row r="193" spans="1:11" ht="14.5" x14ac:dyDescent="0.35">
      <c r="A193" s="236" t="s">
        <v>605</v>
      </c>
      <c r="B193" s="235">
        <v>0.64402757999999982</v>
      </c>
      <c r="C193" s="203">
        <f t="shared" si="10"/>
        <v>3.7209596522084147E-3</v>
      </c>
      <c r="D193" s="235">
        <v>2.0611432799999969</v>
      </c>
      <c r="E193" s="203">
        <f t="shared" si="11"/>
        <v>1.2819262815402601E-2</v>
      </c>
      <c r="F193" s="235">
        <v>2.0584925799999989</v>
      </c>
      <c r="G193" s="203">
        <f t="shared" si="12"/>
        <v>1.4282938733448079E-2</v>
      </c>
      <c r="H193" s="203">
        <f t="shared" si="13"/>
        <v>-0.12860338365210389</v>
      </c>
      <c r="I193" s="200">
        <f t="shared" si="14"/>
        <v>219.62801655171344</v>
      </c>
      <c r="J193" s="306"/>
      <c r="K193" s="306"/>
    </row>
    <row r="194" spans="1:11" ht="14.5" x14ac:dyDescent="0.35">
      <c r="A194" s="236" t="s">
        <v>505</v>
      </c>
      <c r="B194" s="235">
        <v>1.5753937899999986</v>
      </c>
      <c r="C194" s="203">
        <f t="shared" si="10"/>
        <v>9.1020585312972038E-3</v>
      </c>
      <c r="D194" s="235">
        <v>3.4105639199999973</v>
      </c>
      <c r="E194" s="203">
        <f t="shared" si="11"/>
        <v>2.1211972822777155E-2</v>
      </c>
      <c r="F194" s="235">
        <v>2.053983419999998</v>
      </c>
      <c r="G194" s="203">
        <f t="shared" si="12"/>
        <v>1.4251651734094732E-2</v>
      </c>
      <c r="H194" s="203">
        <f t="shared" si="13"/>
        <v>-39.775841527110288</v>
      </c>
      <c r="I194" s="200">
        <f t="shared" si="14"/>
        <v>30.379047641161506</v>
      </c>
      <c r="J194" s="306"/>
      <c r="K194" s="306"/>
    </row>
    <row r="195" spans="1:11" ht="14.5" x14ac:dyDescent="0.35">
      <c r="A195" s="236" t="s">
        <v>606</v>
      </c>
      <c r="B195" s="235">
        <v>2.4508734899999967</v>
      </c>
      <c r="C195" s="203">
        <f t="shared" si="10"/>
        <v>1.4160265262175904E-2</v>
      </c>
      <c r="D195" s="235">
        <v>1.9089910999999984</v>
      </c>
      <c r="E195" s="203">
        <f t="shared" si="11"/>
        <v>1.187295364695099E-2</v>
      </c>
      <c r="F195" s="235">
        <v>1.977834359999997</v>
      </c>
      <c r="G195" s="203">
        <f t="shared" si="12"/>
        <v>1.3723288227149433E-2</v>
      </c>
      <c r="H195" s="203">
        <f t="shared" si="13"/>
        <v>3.606264062729192</v>
      </c>
      <c r="I195" s="200">
        <f t="shared" si="14"/>
        <v>-19.300838330908721</v>
      </c>
      <c r="J195" s="306"/>
      <c r="K195" s="306"/>
    </row>
    <row r="196" spans="1:11" ht="14.5" x14ac:dyDescent="0.35">
      <c r="A196" s="236" t="s">
        <v>651</v>
      </c>
      <c r="B196" s="235">
        <v>3.8433130699999998</v>
      </c>
      <c r="C196" s="203">
        <f t="shared" ref="C196:C257" si="15">(B196/$B$258)*100</f>
        <v>2.2205280190446593E-2</v>
      </c>
      <c r="D196" s="235">
        <v>3.4564276299999901</v>
      </c>
      <c r="E196" s="203">
        <f t="shared" ref="E196:E257" si="16">(D196/$D$258)*100</f>
        <v>2.1497221770719929E-2</v>
      </c>
      <c r="F196" s="235">
        <v>1.8889040999999991</v>
      </c>
      <c r="G196" s="203">
        <f t="shared" ref="G196:G257" si="17">(F196/$F$258)*100</f>
        <v>1.3106241817815483E-2</v>
      </c>
      <c r="H196" s="203">
        <f t="shared" ref="H196:H235" si="18">((F196/D196)-1)*100</f>
        <v>-45.35097209600756</v>
      </c>
      <c r="I196" s="200">
        <f t="shared" ref="I196:I235" si="19">((F196/B196)-1)*100</f>
        <v>-50.852192741092537</v>
      </c>
      <c r="J196" s="306"/>
      <c r="K196" s="306"/>
    </row>
    <row r="197" spans="1:11" ht="14.5" x14ac:dyDescent="0.35">
      <c r="A197" s="236" t="s">
        <v>688</v>
      </c>
      <c r="B197" s="235">
        <v>2.3776221300000002</v>
      </c>
      <c r="C197" s="203">
        <f t="shared" si="15"/>
        <v>1.3737045258104992E-2</v>
      </c>
      <c r="D197" s="235">
        <v>0.48879470999999808</v>
      </c>
      <c r="E197" s="203">
        <f t="shared" si="16"/>
        <v>3.0400544741695408E-3</v>
      </c>
      <c r="F197" s="235">
        <v>1.717014779999998</v>
      </c>
      <c r="G197" s="203">
        <f t="shared" si="17"/>
        <v>1.1913580425519344E-2</v>
      </c>
      <c r="H197" s="203">
        <f t="shared" si="18"/>
        <v>251.27523781916642</v>
      </c>
      <c r="I197" s="200">
        <f t="shared" si="19"/>
        <v>-27.784370849542949</v>
      </c>
      <c r="J197" s="306"/>
      <c r="K197" s="306"/>
    </row>
    <row r="198" spans="1:11" ht="14.5" x14ac:dyDescent="0.35">
      <c r="A198" s="236" t="s">
        <v>513</v>
      </c>
      <c r="B198" s="235">
        <v>2.2747419799999977</v>
      </c>
      <c r="C198" s="203">
        <f t="shared" si="15"/>
        <v>1.3142640765112379E-2</v>
      </c>
      <c r="D198" s="235">
        <v>5.3078172099999961</v>
      </c>
      <c r="E198" s="203">
        <f t="shared" si="16"/>
        <v>3.3011923261883583E-2</v>
      </c>
      <c r="F198" s="235">
        <v>1.588585149999999</v>
      </c>
      <c r="G198" s="203">
        <f t="shared" si="17"/>
        <v>1.1022465949483976E-2</v>
      </c>
      <c r="H198" s="203">
        <f t="shared" si="18"/>
        <v>-70.070839157628043</v>
      </c>
      <c r="I198" s="200">
        <f t="shared" si="19"/>
        <v>-30.16416086012531</v>
      </c>
      <c r="J198" s="306"/>
      <c r="K198" s="306"/>
    </row>
    <row r="199" spans="1:11" ht="14.5" x14ac:dyDescent="0.35">
      <c r="A199" s="236" t="s">
        <v>975</v>
      </c>
      <c r="B199" s="235">
        <v>2.0085772799999972</v>
      </c>
      <c r="C199" s="203">
        <f t="shared" si="15"/>
        <v>1.1604836887921036E-2</v>
      </c>
      <c r="D199" s="235">
        <v>1.6301930399999982</v>
      </c>
      <c r="E199" s="203">
        <f t="shared" si="16"/>
        <v>1.0138971522445608E-2</v>
      </c>
      <c r="F199" s="235">
        <v>1.5740302999999896</v>
      </c>
      <c r="G199" s="203">
        <f t="shared" si="17"/>
        <v>1.0921476500775514E-2</v>
      </c>
      <c r="H199" s="203">
        <f t="shared" si="18"/>
        <v>-3.4451588629042851</v>
      </c>
      <c r="I199" s="200">
        <f t="shared" si="19"/>
        <v>-21.634566134294232</v>
      </c>
      <c r="J199" s="306"/>
      <c r="K199" s="306"/>
    </row>
    <row r="200" spans="1:11" ht="14.5" x14ac:dyDescent="0.35">
      <c r="A200" s="236" t="s">
        <v>613</v>
      </c>
      <c r="B200" s="235">
        <v>1.1823615299999986</v>
      </c>
      <c r="C200" s="203">
        <f t="shared" si="15"/>
        <v>6.8312595362040309E-3</v>
      </c>
      <c r="D200" s="235">
        <v>1.0789533199999968</v>
      </c>
      <c r="E200" s="203">
        <f t="shared" si="16"/>
        <v>6.7105408482961756E-3</v>
      </c>
      <c r="F200" s="235">
        <v>1.5135780699999981</v>
      </c>
      <c r="G200" s="203">
        <f t="shared" si="17"/>
        <v>1.0502026119569774E-2</v>
      </c>
      <c r="H200" s="203">
        <f t="shared" si="18"/>
        <v>40.282071702601804</v>
      </c>
      <c r="I200" s="200">
        <f t="shared" si="19"/>
        <v>28.013135711545001</v>
      </c>
      <c r="J200" s="306"/>
      <c r="K200" s="306"/>
    </row>
    <row r="201" spans="1:11" ht="14.5" x14ac:dyDescent="0.35">
      <c r="A201" s="236" t="s">
        <v>674</v>
      </c>
      <c r="B201" s="235">
        <v>2.1696423299999981</v>
      </c>
      <c r="C201" s="203">
        <f t="shared" si="15"/>
        <v>1.2535412799640426E-2</v>
      </c>
      <c r="D201" s="235">
        <v>1.3206963599999966</v>
      </c>
      <c r="E201" s="203">
        <f t="shared" si="16"/>
        <v>8.2140595961798183E-3</v>
      </c>
      <c r="F201" s="235">
        <v>1.2952922499999988</v>
      </c>
      <c r="G201" s="203">
        <f t="shared" si="17"/>
        <v>8.9874406293269718E-3</v>
      </c>
      <c r="H201" s="203">
        <f t="shared" si="18"/>
        <v>-1.9235390336048042</v>
      </c>
      <c r="I201" s="200">
        <f t="shared" si="19"/>
        <v>-40.299272737732771</v>
      </c>
      <c r="J201" s="306"/>
      <c r="K201" s="306"/>
    </row>
    <row r="202" spans="1:11" ht="14.5" x14ac:dyDescent="0.35">
      <c r="A202" s="236" t="s">
        <v>601</v>
      </c>
      <c r="B202" s="235">
        <v>1.7807608899999967</v>
      </c>
      <c r="C202" s="203">
        <f t="shared" si="15"/>
        <v>1.0288595749145925E-2</v>
      </c>
      <c r="D202" s="235">
        <v>2.2478927499999877</v>
      </c>
      <c r="E202" s="203">
        <f t="shared" si="16"/>
        <v>1.3980749529983176E-2</v>
      </c>
      <c r="F202" s="235">
        <v>1.2879529299999999</v>
      </c>
      <c r="G202" s="203">
        <f t="shared" si="17"/>
        <v>8.9365164438702741E-3</v>
      </c>
      <c r="H202" s="203">
        <f t="shared" si="18"/>
        <v>-42.703986655946693</v>
      </c>
      <c r="I202" s="200">
        <f t="shared" si="19"/>
        <v>-27.674010742677403</v>
      </c>
      <c r="J202" s="306"/>
      <c r="K202" s="306"/>
    </row>
    <row r="203" spans="1:11" ht="14.5" x14ac:dyDescent="0.35">
      <c r="A203" s="236" t="s">
        <v>673</v>
      </c>
      <c r="B203" s="235">
        <v>0.46407614999999997</v>
      </c>
      <c r="C203" s="203">
        <f t="shared" si="15"/>
        <v>2.6812650316966557E-3</v>
      </c>
      <c r="D203" s="235">
        <v>0.50509062000000005</v>
      </c>
      <c r="E203" s="203">
        <f t="shared" si="16"/>
        <v>3.1414067455682441E-3</v>
      </c>
      <c r="F203" s="235">
        <v>1.2664709399999901</v>
      </c>
      <c r="G203" s="203">
        <f t="shared" si="17"/>
        <v>8.7874627382491036E-3</v>
      </c>
      <c r="H203" s="203">
        <f t="shared" si="18"/>
        <v>150.74133033790847</v>
      </c>
      <c r="I203" s="200">
        <f t="shared" si="19"/>
        <v>172.90153566391857</v>
      </c>
      <c r="J203" s="306"/>
      <c r="K203" s="306"/>
    </row>
    <row r="204" spans="1:11" ht="14.5" x14ac:dyDescent="0.35">
      <c r="A204" s="236" t="s">
        <v>706</v>
      </c>
      <c r="B204" s="235">
        <v>3.3651736799999994</v>
      </c>
      <c r="C204" s="203">
        <f t="shared" si="15"/>
        <v>1.9442762817632301E-2</v>
      </c>
      <c r="D204" s="235">
        <v>1.5217086299999993</v>
      </c>
      <c r="E204" s="203">
        <f t="shared" si="16"/>
        <v>9.4642536720864236E-3</v>
      </c>
      <c r="F204" s="235">
        <v>1.2564188699999999</v>
      </c>
      <c r="G204" s="203">
        <f t="shared" si="17"/>
        <v>8.7177160209914728E-3</v>
      </c>
      <c r="H204" s="203">
        <f t="shared" si="18"/>
        <v>-17.433676511383101</v>
      </c>
      <c r="I204" s="200">
        <f t="shared" si="19"/>
        <v>-62.664070580749339</v>
      </c>
      <c r="J204" s="306"/>
      <c r="K204" s="306"/>
    </row>
    <row r="205" spans="1:11" ht="14.5" x14ac:dyDescent="0.35">
      <c r="A205" s="236" t="s">
        <v>631</v>
      </c>
      <c r="B205" s="235">
        <v>1.2584351299999998</v>
      </c>
      <c r="C205" s="203">
        <f t="shared" si="15"/>
        <v>7.2707854276235374E-3</v>
      </c>
      <c r="D205" s="235">
        <v>1.7698562799999977</v>
      </c>
      <c r="E205" s="203">
        <f t="shared" si="16"/>
        <v>1.1007605836509716E-2</v>
      </c>
      <c r="F205" s="235">
        <v>1.2310126299999979</v>
      </c>
      <c r="G205" s="203">
        <f t="shared" si="17"/>
        <v>8.5414337390474181E-3</v>
      </c>
      <c r="H205" s="203">
        <f t="shared" si="18"/>
        <v>-30.445616183027045</v>
      </c>
      <c r="I205" s="200">
        <f t="shared" si="19"/>
        <v>-2.1790952387034768</v>
      </c>
      <c r="J205" s="306"/>
      <c r="K205" s="306"/>
    </row>
    <row r="206" spans="1:11" ht="14.5" x14ac:dyDescent="0.35">
      <c r="A206" s="236" t="s">
        <v>593</v>
      </c>
      <c r="B206" s="235">
        <v>1.1243754999999989</v>
      </c>
      <c r="C206" s="203">
        <f t="shared" si="15"/>
        <v>6.4962371167887863E-3</v>
      </c>
      <c r="D206" s="235">
        <v>1.5259503699999988</v>
      </c>
      <c r="E206" s="203">
        <f t="shared" si="16"/>
        <v>9.4906351373548643E-3</v>
      </c>
      <c r="F206" s="235">
        <v>1.1812732499999987</v>
      </c>
      <c r="G206" s="203">
        <f t="shared" si="17"/>
        <v>8.1963149253669321E-3</v>
      </c>
      <c r="H206" s="203">
        <f t="shared" si="18"/>
        <v>-22.587701852977059</v>
      </c>
      <c r="I206" s="200">
        <f t="shared" si="19"/>
        <v>5.0603868547473674</v>
      </c>
      <c r="J206" s="306"/>
      <c r="K206" s="306"/>
    </row>
    <row r="207" spans="1:11" ht="14.5" x14ac:dyDescent="0.35">
      <c r="A207" s="236" t="s">
        <v>685</v>
      </c>
      <c r="B207" s="235">
        <v>1.19244258</v>
      </c>
      <c r="C207" s="203">
        <f t="shared" si="15"/>
        <v>6.8895042161941358E-3</v>
      </c>
      <c r="D207" s="235">
        <v>2.3390880399999996</v>
      </c>
      <c r="E207" s="203">
        <f t="shared" si="16"/>
        <v>1.4547937847933111E-2</v>
      </c>
      <c r="F207" s="235">
        <v>1.1788096299999999</v>
      </c>
      <c r="G207" s="203">
        <f t="shared" si="17"/>
        <v>8.179220992717208E-3</v>
      </c>
      <c r="H207" s="203">
        <f t="shared" si="18"/>
        <v>-49.603879381983404</v>
      </c>
      <c r="I207" s="200">
        <f t="shared" si="19"/>
        <v>-1.1432793686384501</v>
      </c>
      <c r="J207" s="306"/>
      <c r="K207" s="306"/>
    </row>
    <row r="208" spans="1:11" ht="14.5" x14ac:dyDescent="0.35">
      <c r="A208" s="236" t="s">
        <v>644</v>
      </c>
      <c r="B208" s="235">
        <v>0.55792074999999985</v>
      </c>
      <c r="C208" s="203">
        <f t="shared" si="15"/>
        <v>3.2234653675543797E-3</v>
      </c>
      <c r="D208" s="235">
        <v>0.71921109000000005</v>
      </c>
      <c r="E208" s="203">
        <f t="shared" si="16"/>
        <v>4.4731271580800477E-3</v>
      </c>
      <c r="F208" s="235">
        <v>1.1263991499999979</v>
      </c>
      <c r="G208" s="203">
        <f t="shared" si="17"/>
        <v>7.8155686375405691E-3</v>
      </c>
      <c r="H208" s="203">
        <f t="shared" si="18"/>
        <v>56.615931770462247</v>
      </c>
      <c r="I208" s="200">
        <f t="shared" si="19"/>
        <v>101.89232072834686</v>
      </c>
      <c r="J208" s="306"/>
      <c r="K208" s="306"/>
    </row>
    <row r="209" spans="1:11" ht="14.5" x14ac:dyDescent="0.35">
      <c r="A209" s="236" t="s">
        <v>714</v>
      </c>
      <c r="B209" s="235">
        <v>0.9711718399999989</v>
      </c>
      <c r="C209" s="203">
        <f t="shared" si="15"/>
        <v>5.6110814881577013E-3</v>
      </c>
      <c r="D209" s="235">
        <v>0.6044772199999997</v>
      </c>
      <c r="E209" s="203">
        <f t="shared" si="16"/>
        <v>3.7595408452652285E-3</v>
      </c>
      <c r="F209" s="235">
        <v>1.06267406</v>
      </c>
      <c r="G209" s="203">
        <f t="shared" si="17"/>
        <v>7.3734093773631841E-3</v>
      </c>
      <c r="H209" s="203">
        <f t="shared" si="18"/>
        <v>75.80051403756795</v>
      </c>
      <c r="I209" s="200">
        <f t="shared" si="19"/>
        <v>9.4218362015110699</v>
      </c>
      <c r="J209" s="306"/>
      <c r="K209" s="306"/>
    </row>
    <row r="210" spans="1:11" ht="14.5" x14ac:dyDescent="0.35">
      <c r="A210" s="236" t="s">
        <v>642</v>
      </c>
      <c r="B210" s="235">
        <v>3.4070266799999991</v>
      </c>
      <c r="C210" s="203">
        <f t="shared" si="15"/>
        <v>1.9684574393968639E-2</v>
      </c>
      <c r="D210" s="235">
        <v>2.5385885699999973</v>
      </c>
      <c r="E210" s="203">
        <f t="shared" si="16"/>
        <v>1.5788729669975722E-2</v>
      </c>
      <c r="F210" s="235">
        <v>1.0337652599999996</v>
      </c>
      <c r="G210" s="203">
        <f t="shared" si="17"/>
        <v>7.1728244331815969E-3</v>
      </c>
      <c r="H210" s="203">
        <f t="shared" si="18"/>
        <v>-59.277951842349921</v>
      </c>
      <c r="I210" s="200">
        <f t="shared" si="19"/>
        <v>-69.657846647681666</v>
      </c>
      <c r="J210" s="306"/>
      <c r="K210" s="306"/>
    </row>
    <row r="211" spans="1:11" ht="14.5" x14ac:dyDescent="0.35">
      <c r="A211" s="236" t="s">
        <v>590</v>
      </c>
      <c r="B211" s="235">
        <v>0.58095009999999903</v>
      </c>
      <c r="C211" s="203">
        <f t="shared" si="15"/>
        <v>3.3565206664696572E-3</v>
      </c>
      <c r="D211" s="235">
        <v>220.39929737999998</v>
      </c>
      <c r="E211" s="203">
        <f t="shared" si="16"/>
        <v>1.3707715251335162</v>
      </c>
      <c r="F211" s="235">
        <v>1.018907019999999</v>
      </c>
      <c r="G211" s="203">
        <f t="shared" si="17"/>
        <v>7.0697298999932027E-3</v>
      </c>
      <c r="H211" s="203">
        <f t="shared" si="18"/>
        <v>-99.537699515328654</v>
      </c>
      <c r="I211" s="200">
        <f t="shared" si="19"/>
        <v>75.386323197121527</v>
      </c>
      <c r="J211" s="306"/>
      <c r="K211" s="306"/>
    </row>
    <row r="212" spans="1:11" ht="14.5" x14ac:dyDescent="0.35">
      <c r="A212" s="236" t="s">
        <v>638</v>
      </c>
      <c r="B212" s="235">
        <v>2.9505105199999968</v>
      </c>
      <c r="C212" s="203">
        <f t="shared" si="15"/>
        <v>1.7046988264596465E-2</v>
      </c>
      <c r="D212" s="235">
        <v>1.0986676799999986</v>
      </c>
      <c r="E212" s="203">
        <f t="shared" si="16"/>
        <v>6.833154139924056E-3</v>
      </c>
      <c r="F212" s="235">
        <v>0.91574637999999764</v>
      </c>
      <c r="G212" s="203">
        <f t="shared" si="17"/>
        <v>6.3539453909116517E-3</v>
      </c>
      <c r="H212" s="203">
        <f t="shared" si="18"/>
        <v>-16.649374813683536</v>
      </c>
      <c r="I212" s="200">
        <f t="shared" si="19"/>
        <v>-68.96312099914158</v>
      </c>
      <c r="J212" s="306"/>
      <c r="K212" s="306"/>
    </row>
    <row r="213" spans="1:11" ht="14.5" x14ac:dyDescent="0.35">
      <c r="A213" s="236" t="s">
        <v>686</v>
      </c>
      <c r="B213" s="235">
        <v>0.11852020999999968</v>
      </c>
      <c r="C213" s="203">
        <f t="shared" si="15"/>
        <v>6.8476713276979101E-4</v>
      </c>
      <c r="D213" s="235">
        <v>1.0523613500000002</v>
      </c>
      <c r="E213" s="203">
        <f t="shared" si="16"/>
        <v>6.5451523207168327E-3</v>
      </c>
      <c r="F213" s="235">
        <v>0.617558099999999</v>
      </c>
      <c r="G213" s="203">
        <f t="shared" si="17"/>
        <v>4.2849532674266878E-3</v>
      </c>
      <c r="H213" s="203">
        <f t="shared" si="18"/>
        <v>-41.316915525261464</v>
      </c>
      <c r="I213" s="200">
        <f t="shared" si="19"/>
        <v>421.0572104116257</v>
      </c>
      <c r="J213" s="306"/>
      <c r="K213" s="306"/>
    </row>
    <row r="214" spans="1:11" ht="14.5" x14ac:dyDescent="0.35">
      <c r="A214" s="236" t="s">
        <v>533</v>
      </c>
      <c r="B214" s="235"/>
      <c r="C214" s="203">
        <f t="shared" si="15"/>
        <v>0</v>
      </c>
      <c r="D214" s="235">
        <v>7.058652E-2</v>
      </c>
      <c r="E214" s="203">
        <f t="shared" si="16"/>
        <v>4.3901225105741961E-4</v>
      </c>
      <c r="F214" s="235">
        <v>0.60632556999999998</v>
      </c>
      <c r="G214" s="203">
        <f t="shared" si="17"/>
        <v>4.2070158780135062E-3</v>
      </c>
      <c r="H214" s="203">
        <f t="shared" si="18"/>
        <v>758.98209743163432</v>
      </c>
      <c r="I214" s="200" t="s">
        <v>240</v>
      </c>
      <c r="J214" s="306"/>
      <c r="K214" s="306"/>
    </row>
    <row r="215" spans="1:11" ht="14.5" x14ac:dyDescent="0.35">
      <c r="A215" s="236" t="s">
        <v>578</v>
      </c>
      <c r="B215" s="235">
        <v>0.99418954999999876</v>
      </c>
      <c r="C215" s="203">
        <f t="shared" si="15"/>
        <v>5.744069535340764E-3</v>
      </c>
      <c r="D215" s="235">
        <v>1.850228159999999</v>
      </c>
      <c r="E215" s="203">
        <f t="shared" si="16"/>
        <v>1.1507478049511822E-2</v>
      </c>
      <c r="F215" s="235">
        <v>0.50130900999999972</v>
      </c>
      <c r="G215" s="203">
        <f t="shared" si="17"/>
        <v>3.478353988701533E-3</v>
      </c>
      <c r="H215" s="203">
        <f t="shared" si="18"/>
        <v>-72.905557225980175</v>
      </c>
      <c r="I215" s="200">
        <f t="shared" si="19"/>
        <v>-49.576113528853696</v>
      </c>
      <c r="J215" s="306"/>
      <c r="K215" s="306"/>
    </row>
    <row r="216" spans="1:11" ht="14.5" x14ac:dyDescent="0.35">
      <c r="A216" s="236" t="s">
        <v>669</v>
      </c>
      <c r="B216" s="235"/>
      <c r="C216" s="203">
        <f t="shared" si="15"/>
        <v>0</v>
      </c>
      <c r="D216" s="235"/>
      <c r="E216" s="203">
        <f t="shared" si="16"/>
        <v>0</v>
      </c>
      <c r="F216" s="235">
        <v>0.49706108000000004</v>
      </c>
      <c r="G216" s="203">
        <f t="shared" si="17"/>
        <v>3.4488795448665345E-3</v>
      </c>
      <c r="H216" s="203" t="s">
        <v>240</v>
      </c>
      <c r="I216" s="200" t="s">
        <v>240</v>
      </c>
      <c r="J216" s="306"/>
      <c r="K216" s="306"/>
    </row>
    <row r="217" spans="1:11" ht="14.5" x14ac:dyDescent="0.35">
      <c r="A217" s="236" t="s">
        <v>668</v>
      </c>
      <c r="B217" s="235">
        <v>0.39535558999999881</v>
      </c>
      <c r="C217" s="203">
        <f t="shared" si="15"/>
        <v>2.2842223599570826E-3</v>
      </c>
      <c r="D217" s="235">
        <v>0.24570005999999989</v>
      </c>
      <c r="E217" s="203">
        <f t="shared" si="16"/>
        <v>1.5281293995729358E-3</v>
      </c>
      <c r="F217" s="235">
        <v>0.47252340999999992</v>
      </c>
      <c r="G217" s="203">
        <f t="shared" si="17"/>
        <v>3.2786238729847496E-3</v>
      </c>
      <c r="H217" s="203">
        <f t="shared" si="18"/>
        <v>92.317173223319585</v>
      </c>
      <c r="I217" s="200">
        <f t="shared" si="19"/>
        <v>19.518585787544151</v>
      </c>
      <c r="J217" s="306"/>
      <c r="K217" s="306"/>
    </row>
    <row r="218" spans="1:11" ht="14.5" x14ac:dyDescent="0.35">
      <c r="A218" s="236" t="s">
        <v>657</v>
      </c>
      <c r="B218" s="235">
        <v>0.610665969999998</v>
      </c>
      <c r="C218" s="203">
        <f t="shared" si="15"/>
        <v>3.5282082723021081E-3</v>
      </c>
      <c r="D218" s="235">
        <v>0.51390355999999793</v>
      </c>
      <c r="E218" s="203">
        <f t="shared" si="16"/>
        <v>3.1962187497275797E-3</v>
      </c>
      <c r="F218" s="235">
        <v>0.416633789999999</v>
      </c>
      <c r="G218" s="203">
        <f t="shared" si="17"/>
        <v>2.8908313562414014E-3</v>
      </c>
      <c r="H218" s="203">
        <f t="shared" si="18"/>
        <v>-18.927631090938412</v>
      </c>
      <c r="I218" s="200">
        <f t="shared" si="19"/>
        <v>-31.773864851188549</v>
      </c>
      <c r="J218" s="306"/>
      <c r="K218" s="306"/>
    </row>
    <row r="219" spans="1:11" ht="14.5" x14ac:dyDescent="0.35">
      <c r="A219" s="236" t="s">
        <v>675</v>
      </c>
      <c r="B219" s="235">
        <v>0.1193928799999999</v>
      </c>
      <c r="C219" s="203">
        <f t="shared" si="15"/>
        <v>6.8980910606493081E-4</v>
      </c>
      <c r="D219" s="235">
        <v>0.13772660999999903</v>
      </c>
      <c r="E219" s="203">
        <f t="shared" si="16"/>
        <v>8.5658946051748823E-4</v>
      </c>
      <c r="F219" s="235">
        <v>0.36463069999999997</v>
      </c>
      <c r="G219" s="203">
        <f t="shared" si="17"/>
        <v>2.5300056939890881E-3</v>
      </c>
      <c r="H219" s="203">
        <f t="shared" si="18"/>
        <v>164.74963698010322</v>
      </c>
      <c r="I219" s="200">
        <f t="shared" si="19"/>
        <v>205.40405759539456</v>
      </c>
      <c r="J219" s="306"/>
      <c r="K219" s="306"/>
    </row>
    <row r="220" spans="1:11" ht="14.5" x14ac:dyDescent="0.35">
      <c r="A220" s="236" t="s">
        <v>682</v>
      </c>
      <c r="B220" s="235">
        <v>0.30914714999999893</v>
      </c>
      <c r="C220" s="203">
        <f t="shared" si="15"/>
        <v>1.7861410092797872E-3</v>
      </c>
      <c r="D220" s="235">
        <v>0.6927850000000001</v>
      </c>
      <c r="E220" s="203">
        <f t="shared" si="16"/>
        <v>4.3087703197269749E-3</v>
      </c>
      <c r="F220" s="235">
        <v>0.3614074499999998</v>
      </c>
      <c r="G220" s="203">
        <f t="shared" si="17"/>
        <v>2.5076410361225101E-3</v>
      </c>
      <c r="H220" s="203">
        <f t="shared" si="18"/>
        <v>-47.832668143796454</v>
      </c>
      <c r="I220" s="200">
        <f t="shared" si="19"/>
        <v>16.904668213826678</v>
      </c>
      <c r="J220" s="306"/>
      <c r="K220" s="306"/>
    </row>
    <row r="221" spans="1:11" ht="14.5" x14ac:dyDescent="0.35">
      <c r="A221" s="236" t="s">
        <v>577</v>
      </c>
      <c r="B221" s="235">
        <v>1.1300000000000001E-2</v>
      </c>
      <c r="C221" s="203">
        <f t="shared" si="15"/>
        <v>6.5287334542342274E-5</v>
      </c>
      <c r="D221" s="235">
        <v>1.8080443799999988</v>
      </c>
      <c r="E221" s="203">
        <f t="shared" si="16"/>
        <v>1.1245116394398196E-2</v>
      </c>
      <c r="F221" s="235">
        <v>0.32229212999999901</v>
      </c>
      <c r="G221" s="203">
        <f t="shared" si="17"/>
        <v>2.2362377167579935E-3</v>
      </c>
      <c r="H221" s="203">
        <f t="shared" si="18"/>
        <v>-82.17454540579368</v>
      </c>
      <c r="I221" s="200">
        <f t="shared" si="19"/>
        <v>2752.1427433628228</v>
      </c>
      <c r="J221" s="306"/>
      <c r="K221" s="306"/>
    </row>
    <row r="222" spans="1:11" ht="14.5" x14ac:dyDescent="0.35">
      <c r="A222" s="236" t="s">
        <v>707</v>
      </c>
      <c r="B222" s="235">
        <v>0.22774796999999999</v>
      </c>
      <c r="C222" s="203">
        <f t="shared" si="15"/>
        <v>1.3158458326309143E-3</v>
      </c>
      <c r="D222" s="235">
        <v>0.26506775999999987</v>
      </c>
      <c r="E222" s="203">
        <f t="shared" si="16"/>
        <v>1.6485866423270026E-3</v>
      </c>
      <c r="F222" s="235">
        <v>0.3057704499999998</v>
      </c>
      <c r="G222" s="203">
        <f t="shared" si="17"/>
        <v>2.1216013340445697E-3</v>
      </c>
      <c r="H222" s="203">
        <f t="shared" si="18"/>
        <v>15.355579267731368</v>
      </c>
      <c r="I222" s="200">
        <f t="shared" si="19"/>
        <v>34.258254859527312</v>
      </c>
      <c r="J222" s="306"/>
      <c r="K222" s="306"/>
    </row>
    <row r="223" spans="1:11" ht="14.5" x14ac:dyDescent="0.35">
      <c r="A223" s="236" t="s">
        <v>634</v>
      </c>
      <c r="B223" s="235">
        <v>0.34973423000000003</v>
      </c>
      <c r="C223" s="203">
        <f t="shared" si="15"/>
        <v>2.0206385553025201E-3</v>
      </c>
      <c r="D223" s="235">
        <v>0.51226040999999978</v>
      </c>
      <c r="E223" s="203">
        <f t="shared" si="16"/>
        <v>3.1859991925044131E-3</v>
      </c>
      <c r="F223" s="235">
        <v>0.28751431999999988</v>
      </c>
      <c r="G223" s="203">
        <f t="shared" si="17"/>
        <v>1.9949303958865794E-3</v>
      </c>
      <c r="H223" s="203">
        <f t="shared" si="18"/>
        <v>-43.873406106085767</v>
      </c>
      <c r="I223" s="200">
        <f t="shared" si="19"/>
        <v>-17.790626327883363</v>
      </c>
      <c r="J223" s="306"/>
      <c r="K223" s="306"/>
    </row>
    <row r="224" spans="1:11" ht="14.5" x14ac:dyDescent="0.35">
      <c r="A224" s="236" t="s">
        <v>698</v>
      </c>
      <c r="B224" s="235">
        <v>0.31281083999999998</v>
      </c>
      <c r="C224" s="203">
        <f t="shared" si="15"/>
        <v>1.8073084919956726E-3</v>
      </c>
      <c r="D224" s="235">
        <v>0.41480644999999888</v>
      </c>
      <c r="E224" s="203">
        <f t="shared" si="16"/>
        <v>2.5798851305835237E-3</v>
      </c>
      <c r="F224" s="235">
        <v>0.25956456</v>
      </c>
      <c r="G224" s="203">
        <f t="shared" si="17"/>
        <v>1.800999791728377E-3</v>
      </c>
      <c r="H224" s="203">
        <f t="shared" si="18"/>
        <v>-37.425138881037</v>
      </c>
      <c r="I224" s="200">
        <f t="shared" si="19"/>
        <v>-17.021878142074609</v>
      </c>
      <c r="J224" s="306"/>
      <c r="K224" s="306"/>
    </row>
    <row r="225" spans="1:11" ht="14.5" x14ac:dyDescent="0.35">
      <c r="A225" s="236" t="s">
        <v>663</v>
      </c>
      <c r="B225" s="235">
        <v>0.18932638999999998</v>
      </c>
      <c r="C225" s="203">
        <f t="shared" si="15"/>
        <v>1.093859766515395E-3</v>
      </c>
      <c r="D225" s="235">
        <v>0.21724471999999889</v>
      </c>
      <c r="E225" s="203">
        <f t="shared" si="16"/>
        <v>1.3511516583837586E-3</v>
      </c>
      <c r="F225" s="235">
        <v>0.25325131000000001</v>
      </c>
      <c r="G225" s="203">
        <f t="shared" si="17"/>
        <v>1.7571950368144968E-3</v>
      </c>
      <c r="H225" s="203">
        <f t="shared" si="18"/>
        <v>16.574207189017677</v>
      </c>
      <c r="I225" s="200">
        <f t="shared" si="19"/>
        <v>33.764400197986141</v>
      </c>
      <c r="J225" s="306"/>
      <c r="K225" s="306"/>
    </row>
    <row r="226" spans="1:11" ht="14.5" x14ac:dyDescent="0.35">
      <c r="A226" s="236" t="s">
        <v>568</v>
      </c>
      <c r="B226" s="235">
        <v>9.5025842799999776</v>
      </c>
      <c r="C226" s="203">
        <f t="shared" si="15"/>
        <v>5.490251317744789E-2</v>
      </c>
      <c r="D226" s="235">
        <v>3.4448195099999968</v>
      </c>
      <c r="E226" s="203">
        <f t="shared" si="16"/>
        <v>2.1425025168709491E-2</v>
      </c>
      <c r="F226" s="235">
        <v>0.23492968999999889</v>
      </c>
      <c r="G226" s="203">
        <f t="shared" si="17"/>
        <v>1.6300696934928641E-3</v>
      </c>
      <c r="H226" s="203">
        <f t="shared" si="18"/>
        <v>-93.180203220574569</v>
      </c>
      <c r="I226" s="200">
        <f t="shared" si="19"/>
        <v>-97.527728425472077</v>
      </c>
      <c r="J226" s="306"/>
      <c r="K226" s="306"/>
    </row>
    <row r="227" spans="1:11" ht="14.5" x14ac:dyDescent="0.35">
      <c r="A227" s="236" t="s">
        <v>711</v>
      </c>
      <c r="B227" s="235">
        <v>218.0004890699999</v>
      </c>
      <c r="C227" s="203">
        <f t="shared" si="15"/>
        <v>1.2595283947174614</v>
      </c>
      <c r="D227" s="235">
        <v>92.068750399999999</v>
      </c>
      <c r="E227" s="203">
        <f t="shared" si="16"/>
        <v>0.57262079735830163</v>
      </c>
      <c r="F227" s="235">
        <v>0.18775260000000002</v>
      </c>
      <c r="G227" s="203">
        <f t="shared" si="17"/>
        <v>1.3027294384736548E-3</v>
      </c>
      <c r="H227" s="203">
        <f t="shared" si="18"/>
        <v>-99.796073478586067</v>
      </c>
      <c r="I227" s="200">
        <f t="shared" si="19"/>
        <v>-99.913875147344413</v>
      </c>
      <c r="J227" s="306"/>
      <c r="K227" s="306"/>
    </row>
    <row r="228" spans="1:11" ht="14.5" x14ac:dyDescent="0.35">
      <c r="A228" s="236" t="s">
        <v>615</v>
      </c>
      <c r="B228" s="235">
        <v>0.43503990999999892</v>
      </c>
      <c r="C228" s="203">
        <f t="shared" si="15"/>
        <v>2.5135040834903012E-3</v>
      </c>
      <c r="D228" s="235">
        <v>0.23764332999999899</v>
      </c>
      <c r="E228" s="203">
        <f t="shared" si="16"/>
        <v>1.4780206369726229E-3</v>
      </c>
      <c r="F228" s="235">
        <v>0.15732330999999902</v>
      </c>
      <c r="G228" s="203">
        <f t="shared" si="17"/>
        <v>1.0915945094508168E-3</v>
      </c>
      <c r="H228" s="203">
        <f t="shared" si="18"/>
        <v>-33.798558537283718</v>
      </c>
      <c r="I228" s="200">
        <f t="shared" si="19"/>
        <v>-63.837039686772776</v>
      </c>
      <c r="J228" s="306"/>
      <c r="K228" s="306"/>
    </row>
    <row r="229" spans="1:11" ht="14.5" x14ac:dyDescent="0.35">
      <c r="A229" s="236" t="s">
        <v>479</v>
      </c>
      <c r="B229" s="235">
        <v>6.8677999999999892E-4</v>
      </c>
      <c r="C229" s="203">
        <f t="shared" si="15"/>
        <v>3.9679677537159074E-6</v>
      </c>
      <c r="D229" s="235"/>
      <c r="E229" s="203">
        <f t="shared" si="16"/>
        <v>0</v>
      </c>
      <c r="F229" s="235">
        <v>0.124803</v>
      </c>
      <c r="G229" s="203">
        <f t="shared" si="17"/>
        <v>8.6595094880085558E-4</v>
      </c>
      <c r="H229" s="203" t="s">
        <v>240</v>
      </c>
      <c r="I229" s="200">
        <f t="shared" si="19"/>
        <v>18072.194880456653</v>
      </c>
      <c r="J229" s="306"/>
      <c r="K229" s="306"/>
    </row>
    <row r="230" spans="1:11" ht="14.5" x14ac:dyDescent="0.35">
      <c r="A230" s="236" t="s">
        <v>676</v>
      </c>
      <c r="B230" s="235">
        <v>7.0258400000000002E-3</v>
      </c>
      <c r="C230" s="203">
        <f t="shared" si="15"/>
        <v>4.0592775798315929E-5</v>
      </c>
      <c r="D230" s="235"/>
      <c r="E230" s="203">
        <f t="shared" si="16"/>
        <v>0</v>
      </c>
      <c r="F230" s="235">
        <v>0.10460111</v>
      </c>
      <c r="G230" s="203">
        <f t="shared" si="17"/>
        <v>7.2577927173323299E-4</v>
      </c>
      <c r="H230" s="203" t="s">
        <v>240</v>
      </c>
      <c r="I230" s="200">
        <f t="shared" si="19"/>
        <v>1388.8057513407648</v>
      </c>
      <c r="J230" s="306"/>
      <c r="K230" s="306"/>
    </row>
    <row r="231" spans="1:11" ht="14.5" x14ac:dyDescent="0.35">
      <c r="A231" s="236" t="s">
        <v>721</v>
      </c>
      <c r="B231" s="235">
        <v>2.9390003299999994</v>
      </c>
      <c r="C231" s="203">
        <f t="shared" si="15"/>
        <v>1.6980486527855245E-2</v>
      </c>
      <c r="D231" s="235">
        <v>0.50452579999999991</v>
      </c>
      <c r="E231" s="203">
        <f t="shared" si="16"/>
        <v>3.1378938524600089E-3</v>
      </c>
      <c r="F231" s="235">
        <v>8.9243579999999906E-2</v>
      </c>
      <c r="G231" s="203">
        <f t="shared" si="17"/>
        <v>6.1922039354330414E-4</v>
      </c>
      <c r="H231" s="203">
        <f t="shared" si="18"/>
        <v>-82.311394184400498</v>
      </c>
      <c r="I231" s="200">
        <f t="shared" si="19"/>
        <v>-96.963471589674853</v>
      </c>
      <c r="J231" s="306"/>
      <c r="K231" s="306"/>
    </row>
    <row r="232" spans="1:11" ht="14.5" x14ac:dyDescent="0.35">
      <c r="A232" s="236" t="s">
        <v>892</v>
      </c>
      <c r="B232" s="235">
        <v>8.235580000000001E-3</v>
      </c>
      <c r="C232" s="203">
        <f t="shared" si="15"/>
        <v>4.7582218284090543E-5</v>
      </c>
      <c r="D232" s="235">
        <v>7.2050160000000002E-2</v>
      </c>
      <c r="E232" s="203">
        <f t="shared" si="16"/>
        <v>4.4811534738711095E-4</v>
      </c>
      <c r="F232" s="235">
        <v>8.8340439999999909E-2</v>
      </c>
      <c r="G232" s="203">
        <f t="shared" si="17"/>
        <v>6.1295391805874042E-4</v>
      </c>
      <c r="H232" s="203">
        <f t="shared" si="18"/>
        <v>22.609637508091463</v>
      </c>
      <c r="I232" s="200">
        <f t="shared" si="19"/>
        <v>972.66810595003506</v>
      </c>
      <c r="J232" s="306"/>
      <c r="K232" s="306"/>
    </row>
    <row r="233" spans="1:11" ht="14.5" x14ac:dyDescent="0.35">
      <c r="A233" s="236" t="s">
        <v>610</v>
      </c>
      <c r="B233" s="235">
        <v>7.116399000000001E-2</v>
      </c>
      <c r="C233" s="203">
        <f t="shared" si="15"/>
        <v>4.1115993119450445E-4</v>
      </c>
      <c r="D233" s="235">
        <v>0.37815314999999983</v>
      </c>
      <c r="E233" s="203">
        <f t="shared" si="16"/>
        <v>2.3519202480297087E-3</v>
      </c>
      <c r="F233" s="235">
        <v>8.804623999999997E-2</v>
      </c>
      <c r="G233" s="203">
        <f t="shared" si="17"/>
        <v>6.1091259878647008E-4</v>
      </c>
      <c r="H233" s="203">
        <f t="shared" si="18"/>
        <v>-76.716777316280442</v>
      </c>
      <c r="I233" s="200">
        <f t="shared" si="19"/>
        <v>23.723023399896427</v>
      </c>
      <c r="J233" s="306"/>
      <c r="K233" s="306"/>
    </row>
    <row r="234" spans="1:11" ht="14.5" x14ac:dyDescent="0.35">
      <c r="A234" s="236" t="s">
        <v>723</v>
      </c>
      <c r="B234" s="235">
        <v>1.0790197100000001</v>
      </c>
      <c r="C234" s="203">
        <f t="shared" si="15"/>
        <v>6.2341876800487746E-3</v>
      </c>
      <c r="D234" s="235">
        <v>8.4751939999999901E-2</v>
      </c>
      <c r="E234" s="203">
        <f t="shared" si="16"/>
        <v>5.2711395831503416E-4</v>
      </c>
      <c r="F234" s="235">
        <v>8.0761269999999996E-2</v>
      </c>
      <c r="G234" s="203">
        <f t="shared" si="17"/>
        <v>5.6036552312734532E-4</v>
      </c>
      <c r="H234" s="203">
        <f t="shared" si="18"/>
        <v>-4.7086473772752662</v>
      </c>
      <c r="I234" s="200">
        <f t="shared" si="19"/>
        <v>-92.515310957572765</v>
      </c>
      <c r="J234" s="306"/>
      <c r="K234" s="306"/>
    </row>
    <row r="235" spans="1:11" ht="14.5" x14ac:dyDescent="0.35">
      <c r="A235" s="236" t="s">
        <v>678</v>
      </c>
      <c r="B235" s="235">
        <v>1.0068911199999999</v>
      </c>
      <c r="C235" s="203">
        <f t="shared" si="15"/>
        <v>5.8174546370932468E-3</v>
      </c>
      <c r="D235" s="235">
        <v>0.15176718999999969</v>
      </c>
      <c r="E235" s="203">
        <f t="shared" si="16"/>
        <v>9.439147264741055E-4</v>
      </c>
      <c r="F235" s="235">
        <v>5.9575159999999794E-2</v>
      </c>
      <c r="G235" s="203">
        <f t="shared" si="17"/>
        <v>4.1336479353030461E-4</v>
      </c>
      <c r="H235" s="203">
        <f t="shared" si="18"/>
        <v>-60.745692135434595</v>
      </c>
      <c r="I235" s="200">
        <f t="shared" si="19"/>
        <v>-94.083256986117846</v>
      </c>
      <c r="J235" s="306"/>
      <c r="K235" s="306"/>
    </row>
    <row r="236" spans="1:11" ht="14.5" x14ac:dyDescent="0.35">
      <c r="A236" s="236" t="s">
        <v>589</v>
      </c>
      <c r="B236" s="235">
        <v>9.8350199999999999E-3</v>
      </c>
      <c r="C236" s="203">
        <f t="shared" si="15"/>
        <v>5.6823207165542216E-5</v>
      </c>
      <c r="D236" s="235">
        <v>0.41312420999999999</v>
      </c>
      <c r="E236" s="203">
        <f t="shared" si="16"/>
        <v>2.5694224534432092E-3</v>
      </c>
      <c r="F236" s="235">
        <v>4.5797349999999994E-2</v>
      </c>
      <c r="G236" s="203">
        <f t="shared" si="17"/>
        <v>3.1776687006774564E-4</v>
      </c>
      <c r="H236" s="203" t="s">
        <v>240</v>
      </c>
      <c r="I236" s="200" t="s">
        <v>240</v>
      </c>
      <c r="J236" s="306"/>
      <c r="K236" s="306"/>
    </row>
    <row r="237" spans="1:11" ht="14.5" x14ac:dyDescent="0.35">
      <c r="A237" s="236" t="s">
        <v>677</v>
      </c>
      <c r="B237" s="235">
        <v>0.91834994999999975</v>
      </c>
      <c r="C237" s="203">
        <f t="shared" si="15"/>
        <v>5.3058956117339184E-3</v>
      </c>
      <c r="D237" s="235">
        <v>1.3107200999999997</v>
      </c>
      <c r="E237" s="203">
        <f t="shared" si="16"/>
        <v>8.1520123333351183E-3</v>
      </c>
      <c r="F237" s="235">
        <v>4.3710049999999979E-2</v>
      </c>
      <c r="G237" s="203">
        <f t="shared" si="17"/>
        <v>3.0328404981957828E-4</v>
      </c>
      <c r="H237" s="203">
        <f t="shared" ref="H237:H242" si="20">((F237/D237)-1)*100</f>
        <v>-96.665188090119315</v>
      </c>
      <c r="I237" s="200">
        <f>((F237/B237)-1)*100</f>
        <v>-95.24037105898465</v>
      </c>
      <c r="J237" s="306"/>
      <c r="K237" s="306"/>
    </row>
    <row r="238" spans="1:11" ht="14.5" x14ac:dyDescent="0.35">
      <c r="A238" s="236" t="s">
        <v>679</v>
      </c>
      <c r="B238" s="235">
        <v>0.45651507999999968</v>
      </c>
      <c r="C238" s="203">
        <f t="shared" si="15"/>
        <v>2.6375798895207189E-3</v>
      </c>
      <c r="D238" s="235">
        <v>5.3455029999999792E-2</v>
      </c>
      <c r="E238" s="203">
        <f t="shared" si="16"/>
        <v>3.3246309707068441E-4</v>
      </c>
      <c r="F238" s="235">
        <v>4.0614809999999793E-2</v>
      </c>
      <c r="G238" s="203">
        <f t="shared" si="17"/>
        <v>2.8180759480834838E-4</v>
      </c>
      <c r="H238" s="203">
        <f t="shared" si="20"/>
        <v>-24.020601990121506</v>
      </c>
      <c r="I238" s="200" t="s">
        <v>240</v>
      </c>
      <c r="J238" s="306"/>
      <c r="K238" s="306"/>
    </row>
    <row r="239" spans="1:11" ht="14.5" x14ac:dyDescent="0.35">
      <c r="A239" s="236" t="s">
        <v>585</v>
      </c>
      <c r="B239" s="235">
        <v>9.7286200000000003E-3</v>
      </c>
      <c r="C239" s="203">
        <f t="shared" si="15"/>
        <v>5.6208466245603704E-5</v>
      </c>
      <c r="D239" s="235">
        <v>7.1508999999999809E-3</v>
      </c>
      <c r="E239" s="203">
        <f t="shared" si="16"/>
        <v>4.4474960744438088E-5</v>
      </c>
      <c r="F239" s="235">
        <v>3.6968939999999999E-2</v>
      </c>
      <c r="G239" s="203">
        <f t="shared" si="17"/>
        <v>2.5651057001163359E-4</v>
      </c>
      <c r="H239" s="203">
        <f t="shared" si="20"/>
        <v>416.98303710022657</v>
      </c>
      <c r="I239" s="200">
        <f>((F239/B239)-1)*100</f>
        <v>280.00189132682738</v>
      </c>
      <c r="J239" s="306"/>
      <c r="K239" s="306"/>
    </row>
    <row r="240" spans="1:11" ht="14.5" x14ac:dyDescent="0.35">
      <c r="A240" s="236" t="s">
        <v>586</v>
      </c>
      <c r="B240" s="235">
        <v>0.48517209999999888</v>
      </c>
      <c r="C240" s="203">
        <f t="shared" si="15"/>
        <v>2.8031498410009438E-3</v>
      </c>
      <c r="D240" s="235">
        <v>0.78092980000000012</v>
      </c>
      <c r="E240" s="203">
        <f t="shared" si="16"/>
        <v>4.8569861414873624E-3</v>
      </c>
      <c r="F240" s="235">
        <v>3.2717779999999898E-2</v>
      </c>
      <c r="G240" s="203">
        <f t="shared" si="17"/>
        <v>2.2701371468360193E-4</v>
      </c>
      <c r="H240" s="203">
        <f t="shared" si="20"/>
        <v>-95.810407030183768</v>
      </c>
      <c r="I240" s="200">
        <f>((F240/B240)-1)*100</f>
        <v>-93.256458893658561</v>
      </c>
      <c r="J240" s="306"/>
      <c r="K240" s="306"/>
    </row>
    <row r="241" spans="1:11" ht="14.5" x14ac:dyDescent="0.35">
      <c r="A241" s="236" t="s">
        <v>656</v>
      </c>
      <c r="B241" s="235">
        <v>1.7480389999999901E-2</v>
      </c>
      <c r="C241" s="203">
        <f t="shared" si="15"/>
        <v>1.0099540441244317E-4</v>
      </c>
      <c r="D241" s="235">
        <v>8.26346899999999E-2</v>
      </c>
      <c r="E241" s="203">
        <f t="shared" si="16"/>
        <v>5.1394574023952454E-4</v>
      </c>
      <c r="F241" s="235">
        <v>3.0595489999999899E-2</v>
      </c>
      <c r="G241" s="203">
        <f t="shared" si="17"/>
        <v>2.1228811482518054E-4</v>
      </c>
      <c r="H241" s="203">
        <f t="shared" si="20"/>
        <v>-62.975004807303158</v>
      </c>
      <c r="I241" s="200" t="s">
        <v>240</v>
      </c>
      <c r="J241" s="306"/>
      <c r="K241" s="306"/>
    </row>
    <row r="242" spans="1:11" ht="14.5" x14ac:dyDescent="0.35">
      <c r="A242" s="236" t="s">
        <v>671</v>
      </c>
      <c r="B242" s="235">
        <v>4.7588599999999898E-2</v>
      </c>
      <c r="C242" s="203">
        <f t="shared" si="15"/>
        <v>2.7494980961077016E-4</v>
      </c>
      <c r="D242" s="235">
        <v>0.39145957999999992</v>
      </c>
      <c r="E242" s="203">
        <f t="shared" si="16"/>
        <v>2.434679474406615E-3</v>
      </c>
      <c r="F242" s="235">
        <v>2.8527079999999969E-2</v>
      </c>
      <c r="G242" s="203">
        <f t="shared" si="17"/>
        <v>1.9793636364925433E-4</v>
      </c>
      <c r="H242" s="203">
        <f t="shared" si="20"/>
        <v>-92.712637151452526</v>
      </c>
      <c r="I242" s="200">
        <f>((F242/B242)-1)*100</f>
        <v>-40.054803041064389</v>
      </c>
      <c r="J242" s="306"/>
      <c r="K242" s="306"/>
    </row>
    <row r="243" spans="1:11" ht="14.5" x14ac:dyDescent="0.35">
      <c r="A243" s="236" t="s">
        <v>716</v>
      </c>
      <c r="B243" s="235">
        <v>1.8907341700000002</v>
      </c>
      <c r="C243" s="203">
        <f t="shared" si="15"/>
        <v>1.0923981795347598E-2</v>
      </c>
      <c r="D243" s="235">
        <v>3.2977910000000006E-2</v>
      </c>
      <c r="E243" s="203">
        <f t="shared" si="16"/>
        <v>2.0510582621538777E-4</v>
      </c>
      <c r="F243" s="235">
        <v>2.1148149999999886E-2</v>
      </c>
      <c r="G243" s="203">
        <f t="shared" si="17"/>
        <v>1.4673734251486516E-4</v>
      </c>
      <c r="H243" s="203" t="s">
        <v>240</v>
      </c>
      <c r="I243" s="200" t="s">
        <v>240</v>
      </c>
      <c r="J243" s="306"/>
      <c r="K243" s="306"/>
    </row>
    <row r="244" spans="1:11" ht="14.5" x14ac:dyDescent="0.35">
      <c r="A244" s="236" t="s">
        <v>649</v>
      </c>
      <c r="B244" s="235"/>
      <c r="C244" s="203">
        <f t="shared" si="15"/>
        <v>0</v>
      </c>
      <c r="D244" s="235">
        <v>0.147915989999999</v>
      </c>
      <c r="E244" s="203">
        <f t="shared" si="16"/>
        <v>9.1996222136020217E-4</v>
      </c>
      <c r="F244" s="235">
        <v>1.36851E-2</v>
      </c>
      <c r="G244" s="203">
        <f t="shared" si="17"/>
        <v>9.4954651165713892E-5</v>
      </c>
      <c r="H244" s="203">
        <f t="shared" ref="H244:H250" si="21">((F244/D244)-1)*100</f>
        <v>-90.748059084078676</v>
      </c>
      <c r="I244" s="200" t="s">
        <v>240</v>
      </c>
      <c r="J244" s="306"/>
      <c r="K244" s="306"/>
    </row>
    <row r="245" spans="1:11" ht="14.5" x14ac:dyDescent="0.35">
      <c r="A245" s="236" t="s">
        <v>648</v>
      </c>
      <c r="B245" s="235">
        <v>0.81466890000000003</v>
      </c>
      <c r="C245" s="203">
        <f t="shared" si="15"/>
        <v>4.7068638066851314E-3</v>
      </c>
      <c r="D245" s="235">
        <v>2.6426044999999996</v>
      </c>
      <c r="E245" s="203">
        <f t="shared" si="16"/>
        <v>1.6435655847596209E-2</v>
      </c>
      <c r="F245" s="235">
        <v>5.9846999999999895E-3</v>
      </c>
      <c r="G245" s="203">
        <f t="shared" si="17"/>
        <v>4.1525096698704938E-5</v>
      </c>
      <c r="H245" s="203">
        <f t="shared" si="21"/>
        <v>-99.773530242607251</v>
      </c>
      <c r="I245" s="200">
        <f t="shared" ref="I245:I251" si="22">((F245/B245)-1)*100</f>
        <v>-99.265382537617427</v>
      </c>
      <c r="J245" s="306"/>
      <c r="K245" s="306"/>
    </row>
    <row r="246" spans="1:11" ht="14.5" x14ac:dyDescent="0.35">
      <c r="A246" s="236" t="s">
        <v>692</v>
      </c>
      <c r="B246" s="235">
        <v>7.6289863599999901</v>
      </c>
      <c r="C246" s="203">
        <f t="shared" si="15"/>
        <v>4.4077538469405785E-2</v>
      </c>
      <c r="D246" s="235">
        <v>5.4706099999999895E-3</v>
      </c>
      <c r="E246" s="203">
        <f t="shared" si="16"/>
        <v>3.4024411612262874E-5</v>
      </c>
      <c r="F246" s="235">
        <v>5.2608000000000004E-3</v>
      </c>
      <c r="G246" s="203">
        <f t="shared" si="17"/>
        <v>3.6502285613739592E-5</v>
      </c>
      <c r="H246" s="203">
        <f t="shared" si="21"/>
        <v>-3.8352213007322722</v>
      </c>
      <c r="I246" s="200">
        <f t="shared" si="22"/>
        <v>-99.931041952996765</v>
      </c>
      <c r="J246" s="306"/>
      <c r="K246" s="306"/>
    </row>
    <row r="247" spans="1:11" ht="14.5" x14ac:dyDescent="0.35">
      <c r="A247" s="236" t="s">
        <v>587</v>
      </c>
      <c r="B247" s="235">
        <v>1.15123884</v>
      </c>
      <c r="C247" s="203">
        <f t="shared" si="15"/>
        <v>6.65144383055027E-3</v>
      </c>
      <c r="D247" s="235">
        <v>1.5105299999999999E-3</v>
      </c>
      <c r="E247" s="203">
        <f t="shared" si="16"/>
        <v>9.3947282794188474E-6</v>
      </c>
      <c r="F247" s="235">
        <v>4.3981000000000003E-3</v>
      </c>
      <c r="G247" s="203">
        <f t="shared" si="17"/>
        <v>3.0516404797328938E-5</v>
      </c>
      <c r="H247" s="203">
        <f t="shared" si="21"/>
        <v>191.16270448120864</v>
      </c>
      <c r="I247" s="200">
        <f t="shared" si="22"/>
        <v>-99.617968066470027</v>
      </c>
      <c r="J247" s="306"/>
      <c r="K247" s="306"/>
    </row>
    <row r="248" spans="1:11" ht="14.5" x14ac:dyDescent="0.35">
      <c r="A248" s="236" t="s">
        <v>684</v>
      </c>
      <c r="B248" s="235">
        <v>2.9618419999999899E-2</v>
      </c>
      <c r="C248" s="203">
        <f t="shared" si="15"/>
        <v>1.7112457479253048E-4</v>
      </c>
      <c r="D248" s="235">
        <v>1.3517080000000001E-2</v>
      </c>
      <c r="E248" s="203">
        <f t="shared" si="16"/>
        <v>8.4069362231247924E-5</v>
      </c>
      <c r="F248" s="235">
        <v>3.7704099999999897E-3</v>
      </c>
      <c r="G248" s="203">
        <f t="shared" si="17"/>
        <v>2.6161150908778033E-5</v>
      </c>
      <c r="H248" s="203">
        <f t="shared" si="21"/>
        <v>-72.106327697994018</v>
      </c>
      <c r="I248" s="200">
        <f t="shared" si="22"/>
        <v>-87.270050191738775</v>
      </c>
      <c r="J248" s="306"/>
      <c r="K248" s="306"/>
    </row>
    <row r="249" spans="1:11" ht="14.5" x14ac:dyDescent="0.35">
      <c r="A249" s="236" t="s">
        <v>664</v>
      </c>
      <c r="B249" s="235">
        <v>2.1921700000000002E-3</v>
      </c>
      <c r="C249" s="203">
        <f t="shared" si="15"/>
        <v>1.2665569572007653E-5</v>
      </c>
      <c r="D249" s="235">
        <v>1.649863E-2</v>
      </c>
      <c r="E249" s="203">
        <f t="shared" si="16"/>
        <v>1.0261308668657239E-4</v>
      </c>
      <c r="F249" s="235">
        <v>2.8990500000000002E-3</v>
      </c>
      <c r="G249" s="203">
        <f t="shared" si="17"/>
        <v>2.0115182312293141E-5</v>
      </c>
      <c r="H249" s="203">
        <f t="shared" si="21"/>
        <v>-82.428541036437579</v>
      </c>
      <c r="I249" s="200">
        <f t="shared" si="22"/>
        <v>32.245674377443343</v>
      </c>
      <c r="J249" s="306"/>
      <c r="K249" s="306"/>
    </row>
    <row r="250" spans="1:11" ht="14.5" x14ac:dyDescent="0.35">
      <c r="A250" s="236" t="s">
        <v>689</v>
      </c>
      <c r="B250" s="235">
        <v>1.5304923800000001</v>
      </c>
      <c r="C250" s="203">
        <f t="shared" si="15"/>
        <v>8.8426343387226231E-3</v>
      </c>
      <c r="D250" s="235">
        <v>7.7449999999999999E-5</v>
      </c>
      <c r="E250" s="203">
        <f t="shared" si="16"/>
        <v>4.8169960559604229E-7</v>
      </c>
      <c r="F250" s="235">
        <v>2.4664500000000002E-3</v>
      </c>
      <c r="G250" s="203">
        <f t="shared" si="17"/>
        <v>1.7113568725670623E-5</v>
      </c>
      <c r="H250" s="203">
        <f t="shared" si="21"/>
        <v>3084.5706907682379</v>
      </c>
      <c r="I250" s="200">
        <f t="shared" si="22"/>
        <v>-99.838845979749337</v>
      </c>
      <c r="J250" s="306"/>
      <c r="K250" s="306"/>
    </row>
    <row r="251" spans="1:11" ht="14.5" x14ac:dyDescent="0.35">
      <c r="A251" s="236" t="s">
        <v>894</v>
      </c>
      <c r="B251" s="235">
        <v>1.5262479999999901E-2</v>
      </c>
      <c r="C251" s="203">
        <f t="shared" si="15"/>
        <v>8.8181118381044389E-5</v>
      </c>
      <c r="D251" s="235"/>
      <c r="E251" s="203">
        <f t="shared" si="16"/>
        <v>0</v>
      </c>
      <c r="F251" s="235">
        <v>1.8345200000000001E-3</v>
      </c>
      <c r="G251" s="203">
        <f t="shared" si="17"/>
        <v>1.272889541592867E-5</v>
      </c>
      <c r="H251" s="203" t="s">
        <v>240</v>
      </c>
      <c r="I251" s="200">
        <f t="shared" si="22"/>
        <v>-87.980197189447509</v>
      </c>
      <c r="J251" s="306"/>
      <c r="K251" s="306"/>
    </row>
    <row r="252" spans="1:11" ht="14.5" x14ac:dyDescent="0.35">
      <c r="A252" s="236" t="s">
        <v>666</v>
      </c>
      <c r="B252" s="235">
        <v>3.6273000000000002E-4</v>
      </c>
      <c r="C252" s="203">
        <f t="shared" si="15"/>
        <v>2.0957234388091869E-6</v>
      </c>
      <c r="D252" s="235"/>
      <c r="E252" s="203">
        <f t="shared" si="16"/>
        <v>0</v>
      </c>
      <c r="F252" s="235">
        <v>1.7472500000000001E-3</v>
      </c>
      <c r="G252" s="203">
        <f t="shared" si="17"/>
        <v>1.212336879155385E-5</v>
      </c>
      <c r="H252" s="203" t="s">
        <v>240</v>
      </c>
      <c r="I252" s="200" t="s">
        <v>240</v>
      </c>
      <c r="J252" s="306"/>
      <c r="K252" s="306"/>
    </row>
    <row r="253" spans="1:11" ht="14.5" x14ac:dyDescent="0.35">
      <c r="A253" s="236" t="s">
        <v>680</v>
      </c>
      <c r="B253" s="235">
        <v>2.0168379999999996E-2</v>
      </c>
      <c r="C253" s="203">
        <f t="shared" si="15"/>
        <v>1.1652564356080396E-4</v>
      </c>
      <c r="D253" s="235"/>
      <c r="E253" s="203">
        <f t="shared" si="16"/>
        <v>0</v>
      </c>
      <c r="F253" s="235">
        <v>1.3761999999999999E-3</v>
      </c>
      <c r="G253" s="203">
        <f t="shared" si="17"/>
        <v>9.548822510193966E-6</v>
      </c>
      <c r="H253" s="203" t="s">
        <v>240</v>
      </c>
      <c r="I253" s="200" t="s">
        <v>240</v>
      </c>
      <c r="J253" s="306"/>
      <c r="K253" s="306"/>
    </row>
    <row r="254" spans="1:11" ht="14.5" x14ac:dyDescent="0.35">
      <c r="A254" s="236" t="s">
        <v>893</v>
      </c>
      <c r="B254" s="235">
        <v>1.2411400000000002E-3</v>
      </c>
      <c r="C254" s="203">
        <f t="shared" si="15"/>
        <v>7.1708603888391768E-6</v>
      </c>
      <c r="D254" s="235">
        <v>6.5894600000000001E-3</v>
      </c>
      <c r="E254" s="203">
        <f t="shared" si="16"/>
        <v>4.098308951699028E-5</v>
      </c>
      <c r="F254" s="235">
        <v>2.5483999999999999E-4</v>
      </c>
      <c r="G254" s="203">
        <f t="shared" si="17"/>
        <v>1.7682182302701863E-6</v>
      </c>
      <c r="H254" s="203" t="s">
        <v>240</v>
      </c>
      <c r="I254" s="200">
        <f>((F254/B254)-1)*100</f>
        <v>-79.467263966998075</v>
      </c>
      <c r="J254" s="306"/>
      <c r="K254" s="306"/>
    </row>
    <row r="255" spans="1:11" ht="14.5" x14ac:dyDescent="0.35">
      <c r="A255" s="236" t="s">
        <v>691</v>
      </c>
      <c r="B255" s="235"/>
      <c r="C255" s="203">
        <f t="shared" si="15"/>
        <v>0</v>
      </c>
      <c r="D255" s="235">
        <v>2.5000000000000001E-4</v>
      </c>
      <c r="E255" s="203">
        <f t="shared" si="16"/>
        <v>1.5548728392383548E-6</v>
      </c>
      <c r="F255" s="235"/>
      <c r="G255" s="203">
        <f t="shared" si="17"/>
        <v>0</v>
      </c>
      <c r="H255" s="203">
        <f>((F255/D255)-1)*100</f>
        <v>-100</v>
      </c>
      <c r="I255" s="200" t="s">
        <v>240</v>
      </c>
      <c r="J255" s="306"/>
      <c r="K255" s="306"/>
    </row>
    <row r="256" spans="1:11" ht="14.5" x14ac:dyDescent="0.35">
      <c r="A256" s="236" t="s">
        <v>662</v>
      </c>
      <c r="B256" s="235">
        <v>155.91374847</v>
      </c>
      <c r="C256" s="203">
        <f t="shared" si="15"/>
        <v>0.90081354478862785</v>
      </c>
      <c r="D256" s="235">
        <v>3.5279999999999999E-2</v>
      </c>
      <c r="E256" s="203">
        <f t="shared" si="16"/>
        <v>2.1942365507331661E-4</v>
      </c>
      <c r="F256" s="235"/>
      <c r="G256" s="203">
        <f t="shared" si="17"/>
        <v>0</v>
      </c>
      <c r="H256" s="203">
        <f>((F256/D256)-1)*100</f>
        <v>-100</v>
      </c>
      <c r="I256" s="200">
        <f>((F256/B256)-1)*100</f>
        <v>-100</v>
      </c>
      <c r="J256" s="306"/>
      <c r="K256" s="306"/>
    </row>
    <row r="257" spans="1:11" ht="14.5" x14ac:dyDescent="0.35">
      <c r="A257" s="236" t="s">
        <v>946</v>
      </c>
      <c r="B257" s="235">
        <v>5.8600500000000003E-3</v>
      </c>
      <c r="C257" s="203">
        <f t="shared" si="15"/>
        <v>3.3857260600429451E-5</v>
      </c>
      <c r="D257" s="235"/>
      <c r="E257" s="203">
        <f t="shared" si="16"/>
        <v>0</v>
      </c>
      <c r="F257" s="235"/>
      <c r="G257" s="203">
        <f t="shared" si="17"/>
        <v>0</v>
      </c>
      <c r="H257" s="203" t="s">
        <v>240</v>
      </c>
      <c r="I257" s="200">
        <f>((F257/B257)-1)*100</f>
        <v>-100</v>
      </c>
      <c r="J257" s="306"/>
      <c r="K257" s="306"/>
    </row>
    <row r="258" spans="1:11" ht="13" x14ac:dyDescent="0.3">
      <c r="A258" s="305"/>
      <c r="B258" s="305">
        <f t="shared" ref="B258:G258" si="23">SUBTOTAL(109,B4:B257)</f>
        <v>17308.10436543608</v>
      </c>
      <c r="C258" s="305">
        <f t="shared" si="23"/>
        <v>99.999999999999915</v>
      </c>
      <c r="D258" s="305">
        <f t="shared" si="23"/>
        <v>16078.485242719978</v>
      </c>
      <c r="E258" s="305">
        <f t="shared" si="23"/>
        <v>99.999999999999986</v>
      </c>
      <c r="F258" s="305">
        <f t="shared" si="23"/>
        <v>14412.248196369974</v>
      </c>
      <c r="G258" s="305">
        <f t="shared" si="23"/>
        <v>99.999999999999858</v>
      </c>
      <c r="H258" s="272">
        <f>((F258/D258)-1)*100</f>
        <v>-10.363146908409448</v>
      </c>
      <c r="I258" s="272">
        <f>((F258/'Tab16 Imports by Product'!$B258)-1)*100</f>
        <v>-16.731215088170316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C437557D-B3A7-4B99-B283-EF2AB85E0A0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H42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30.54296875" style="20" bestFit="1" customWidth="1"/>
    <col min="2" max="2" width="28.1796875" style="20" customWidth="1"/>
    <col min="3" max="3" width="27" style="20" customWidth="1"/>
    <col min="4" max="5" width="29.54296875" style="20" bestFit="1" customWidth="1"/>
    <col min="6" max="6" width="30.54296875" style="20" bestFit="1" customWidth="1"/>
    <col min="7" max="16384" width="9.1796875" style="1"/>
  </cols>
  <sheetData>
    <row r="1" spans="1:8" ht="13" x14ac:dyDescent="0.3">
      <c r="A1" s="571" t="s">
        <v>930</v>
      </c>
      <c r="B1" s="571"/>
      <c r="C1" s="310"/>
      <c r="H1" s="7" t="s">
        <v>239</v>
      </c>
    </row>
    <row r="2" spans="1:8" s="309" customFormat="1" ht="13" x14ac:dyDescent="0.3">
      <c r="A2" s="420" t="s">
        <v>904</v>
      </c>
      <c r="B2" s="421" t="s">
        <v>715</v>
      </c>
      <c r="C2" s="421" t="s">
        <v>726</v>
      </c>
      <c r="D2" s="421" t="s">
        <v>691</v>
      </c>
      <c r="E2" s="421" t="s">
        <v>604</v>
      </c>
      <c r="F2" s="422" t="s">
        <v>479</v>
      </c>
    </row>
    <row r="3" spans="1:8" x14ac:dyDescent="0.25">
      <c r="A3" s="37" t="s">
        <v>254</v>
      </c>
      <c r="B3" s="48"/>
      <c r="C3" s="48">
        <v>0.35413</v>
      </c>
      <c r="D3" s="48"/>
      <c r="E3" s="48"/>
      <c r="F3" s="64"/>
    </row>
    <row r="4" spans="1:8" x14ac:dyDescent="0.25">
      <c r="A4" s="37" t="s">
        <v>262</v>
      </c>
      <c r="B4" s="48">
        <v>5.0962456600000001</v>
      </c>
      <c r="C4" s="48"/>
      <c r="D4" s="48"/>
      <c r="E4" s="48"/>
      <c r="F4" s="64"/>
    </row>
    <row r="5" spans="1:8" x14ac:dyDescent="0.25">
      <c r="A5" s="37" t="s">
        <v>878</v>
      </c>
      <c r="B5" s="48"/>
      <c r="C5" s="48"/>
      <c r="D5" s="48"/>
      <c r="E5" s="48">
        <v>5.0000000000000001E-3</v>
      </c>
      <c r="F5" s="64"/>
    </row>
    <row r="6" spans="1:8" x14ac:dyDescent="0.25">
      <c r="A6" s="37" t="s">
        <v>828</v>
      </c>
      <c r="B6" s="48"/>
      <c r="C6" s="48">
        <v>1.0488051</v>
      </c>
      <c r="D6" s="48"/>
      <c r="E6" s="48"/>
      <c r="F6" s="64"/>
    </row>
    <row r="7" spans="1:8" x14ac:dyDescent="0.25">
      <c r="A7" s="37" t="s">
        <v>251</v>
      </c>
      <c r="B7" s="48"/>
      <c r="C7" s="48">
        <v>13.69074</v>
      </c>
      <c r="D7" s="48"/>
      <c r="E7" s="48">
        <v>117.1713186799999</v>
      </c>
      <c r="F7" s="64"/>
    </row>
    <row r="8" spans="1:8" x14ac:dyDescent="0.25">
      <c r="A8" s="37" t="s">
        <v>245</v>
      </c>
      <c r="B8" s="48">
        <v>1.48545851</v>
      </c>
      <c r="C8" s="48">
        <v>0.01</v>
      </c>
      <c r="D8" s="48"/>
      <c r="E8" s="48">
        <v>709.44254873999989</v>
      </c>
      <c r="F8" s="64"/>
    </row>
    <row r="9" spans="1:8" x14ac:dyDescent="0.25">
      <c r="A9" s="37" t="s">
        <v>266</v>
      </c>
      <c r="B9" s="48"/>
      <c r="C9" s="48">
        <v>1.61</v>
      </c>
      <c r="D9" s="48"/>
      <c r="E9" s="48"/>
      <c r="F9" s="64"/>
    </row>
    <row r="10" spans="1:8" x14ac:dyDescent="0.25">
      <c r="A10" s="37" t="s">
        <v>246</v>
      </c>
      <c r="B10" s="48"/>
      <c r="C10" s="48"/>
      <c r="D10" s="48">
        <v>770.40063658000008</v>
      </c>
      <c r="E10" s="48">
        <v>4.3481332699999999</v>
      </c>
      <c r="F10" s="64"/>
    </row>
    <row r="11" spans="1:8" x14ac:dyDescent="0.25">
      <c r="A11" s="37" t="s">
        <v>236</v>
      </c>
      <c r="B11" s="48">
        <v>72.425522679999901</v>
      </c>
      <c r="C11" s="48"/>
      <c r="D11" s="48"/>
      <c r="E11" s="48"/>
      <c r="F11" s="64"/>
    </row>
    <row r="12" spans="1:8" x14ac:dyDescent="0.25">
      <c r="A12" s="37" t="s">
        <v>808</v>
      </c>
      <c r="B12" s="48"/>
      <c r="C12" s="48"/>
      <c r="D12" s="48"/>
      <c r="E12" s="48">
        <v>8.9190000000000005E-2</v>
      </c>
      <c r="F12" s="64"/>
    </row>
    <row r="13" spans="1:8" x14ac:dyDescent="0.25">
      <c r="A13" s="37" t="s">
        <v>249</v>
      </c>
      <c r="B13" s="48">
        <v>2.8018575000000001</v>
      </c>
      <c r="C13" s="48"/>
      <c r="D13" s="48"/>
      <c r="E13" s="48"/>
      <c r="F13" s="64"/>
    </row>
    <row r="14" spans="1:8" x14ac:dyDescent="0.25">
      <c r="A14" s="37" t="s">
        <v>816</v>
      </c>
      <c r="B14" s="48"/>
      <c r="C14" s="48">
        <v>0.47360000000000002</v>
      </c>
      <c r="D14" s="48"/>
      <c r="E14" s="48"/>
      <c r="F14" s="64"/>
    </row>
    <row r="15" spans="1:8" x14ac:dyDescent="0.25">
      <c r="A15" s="37" t="s">
        <v>256</v>
      </c>
      <c r="B15" s="48">
        <v>17.447602809999989</v>
      </c>
      <c r="C15" s="48">
        <v>0.37780000000000002</v>
      </c>
      <c r="D15" s="48">
        <v>1209.77996244</v>
      </c>
      <c r="E15" s="48">
        <v>0.45800000000000002</v>
      </c>
      <c r="F15" s="64"/>
    </row>
    <row r="16" spans="1:8" x14ac:dyDescent="0.25">
      <c r="A16" s="37" t="s">
        <v>257</v>
      </c>
      <c r="B16" s="48">
        <v>7.1150701300000003</v>
      </c>
      <c r="C16" s="48">
        <v>55.272507650000001</v>
      </c>
      <c r="D16" s="48"/>
      <c r="E16" s="48">
        <v>1.0999999999999999E-2</v>
      </c>
      <c r="F16" s="64"/>
    </row>
    <row r="17" spans="1:6" x14ac:dyDescent="0.25">
      <c r="A17" s="37" t="s">
        <v>269</v>
      </c>
      <c r="B17" s="48"/>
      <c r="C17" s="48">
        <v>0.65258000000000005</v>
      </c>
      <c r="D17" s="48"/>
      <c r="E17" s="48"/>
      <c r="F17" s="64"/>
    </row>
    <row r="18" spans="1:6" x14ac:dyDescent="0.25">
      <c r="A18" s="37" t="s">
        <v>889</v>
      </c>
      <c r="B18" s="48"/>
      <c r="C18" s="48"/>
      <c r="D18" s="48"/>
      <c r="E18" s="48">
        <v>77.130454100000009</v>
      </c>
      <c r="F18" s="64"/>
    </row>
    <row r="19" spans="1:6" x14ac:dyDescent="0.25">
      <c r="A19" s="37" t="s">
        <v>795</v>
      </c>
      <c r="B19" s="48"/>
      <c r="C19" s="48">
        <v>0.25239600000000001</v>
      </c>
      <c r="D19" s="48"/>
      <c r="E19" s="48">
        <v>8.1944869699999909</v>
      </c>
      <c r="F19" s="64"/>
    </row>
    <row r="20" spans="1:6" x14ac:dyDescent="0.25">
      <c r="A20" s="37" t="s">
        <v>802</v>
      </c>
      <c r="B20" s="48"/>
      <c r="C20" s="48">
        <v>10.7851</v>
      </c>
      <c r="D20" s="48"/>
      <c r="E20" s="48"/>
      <c r="F20" s="64"/>
    </row>
    <row r="21" spans="1:6" x14ac:dyDescent="0.25">
      <c r="A21" s="37" t="s">
        <v>255</v>
      </c>
      <c r="B21" s="48">
        <v>44.260862479999886</v>
      </c>
      <c r="C21" s="48"/>
      <c r="D21" s="48"/>
      <c r="E21" s="48">
        <v>3.5999999999999999E-3</v>
      </c>
      <c r="F21" s="64"/>
    </row>
    <row r="22" spans="1:6" x14ac:dyDescent="0.25">
      <c r="A22" s="37" t="s">
        <v>272</v>
      </c>
      <c r="B22" s="48"/>
      <c r="C22" s="48">
        <v>1.9750000000000001</v>
      </c>
      <c r="D22" s="48"/>
      <c r="E22" s="48"/>
      <c r="F22" s="64"/>
    </row>
    <row r="23" spans="1:6" x14ac:dyDescent="0.25">
      <c r="A23" s="37" t="s">
        <v>806</v>
      </c>
      <c r="B23" s="48">
        <v>1.01504375</v>
      </c>
      <c r="C23" s="48"/>
      <c r="D23" s="48"/>
      <c r="E23" s="48"/>
      <c r="F23" s="64"/>
    </row>
    <row r="24" spans="1:6" x14ac:dyDescent="0.25">
      <c r="A24" s="37" t="s">
        <v>285</v>
      </c>
      <c r="B24" s="48"/>
      <c r="C24" s="48">
        <v>1.9509559999999999</v>
      </c>
      <c r="D24" s="48"/>
      <c r="E24" s="48"/>
      <c r="F24" s="64"/>
    </row>
    <row r="25" spans="1:6" x14ac:dyDescent="0.25">
      <c r="A25" s="37" t="s">
        <v>258</v>
      </c>
      <c r="B25" s="48">
        <v>39.283872259999903</v>
      </c>
      <c r="C25" s="48"/>
      <c r="D25" s="48"/>
      <c r="E25" s="48"/>
      <c r="F25" s="64"/>
    </row>
    <row r="26" spans="1:6" x14ac:dyDescent="0.25">
      <c r="A26" s="37" t="s">
        <v>248</v>
      </c>
      <c r="B26" s="48">
        <v>3.3897851299999902</v>
      </c>
      <c r="C26" s="48">
        <v>190.65898000000001</v>
      </c>
      <c r="D26" s="48"/>
      <c r="E26" s="48"/>
      <c r="F26" s="64"/>
    </row>
    <row r="27" spans="1:6" x14ac:dyDescent="0.25">
      <c r="A27" s="37" t="s">
        <v>276</v>
      </c>
      <c r="B27" s="48">
        <v>0.85652349999999999</v>
      </c>
      <c r="C27" s="48">
        <v>1.80718</v>
      </c>
      <c r="D27" s="48"/>
      <c r="E27" s="48"/>
      <c r="F27" s="64"/>
    </row>
    <row r="28" spans="1:6" x14ac:dyDescent="0.25">
      <c r="A28" s="37" t="s">
        <v>263</v>
      </c>
      <c r="B28" s="48"/>
      <c r="C28" s="48">
        <v>2.577</v>
      </c>
      <c r="D28" s="48"/>
      <c r="E28" s="48"/>
      <c r="F28" s="64"/>
    </row>
    <row r="29" spans="1:6" x14ac:dyDescent="0.25">
      <c r="A29" s="37" t="s">
        <v>260</v>
      </c>
      <c r="B29" s="48"/>
      <c r="C29" s="48"/>
      <c r="D29" s="48"/>
      <c r="E29" s="48">
        <v>5.2470000000000003E-2</v>
      </c>
      <c r="F29" s="64"/>
    </row>
    <row r="30" spans="1:6" x14ac:dyDescent="0.25">
      <c r="A30" s="37" t="s">
        <v>259</v>
      </c>
      <c r="B30" s="48">
        <v>11.391369650000001</v>
      </c>
      <c r="C30" s="48"/>
      <c r="D30" s="48"/>
      <c r="E30" s="48"/>
      <c r="F30" s="64"/>
    </row>
    <row r="31" spans="1:6" x14ac:dyDescent="0.25">
      <c r="A31" s="37" t="s">
        <v>845</v>
      </c>
      <c r="B31" s="48"/>
      <c r="C31" s="48">
        <v>0.54579999999999995</v>
      </c>
      <c r="D31" s="48"/>
      <c r="E31" s="48"/>
      <c r="F31" s="64"/>
    </row>
    <row r="32" spans="1:6" x14ac:dyDescent="0.25">
      <c r="A32" s="37" t="s">
        <v>264</v>
      </c>
      <c r="B32" s="48"/>
      <c r="C32" s="48">
        <v>1.9840199999999999</v>
      </c>
      <c r="D32" s="48"/>
      <c r="E32" s="48"/>
      <c r="F32" s="64"/>
    </row>
    <row r="33" spans="1:6" x14ac:dyDescent="0.25">
      <c r="A33" s="37" t="s">
        <v>800</v>
      </c>
      <c r="B33" s="48">
        <v>5.2291360299999896</v>
      </c>
      <c r="C33" s="48"/>
      <c r="D33" s="48"/>
      <c r="E33" s="48"/>
      <c r="F33" s="64"/>
    </row>
    <row r="34" spans="1:6" x14ac:dyDescent="0.25">
      <c r="A34" s="21" t="s">
        <v>235</v>
      </c>
      <c r="B34" s="48">
        <v>74.997071229999975</v>
      </c>
      <c r="C34" s="48">
        <v>27.467644079999886</v>
      </c>
      <c r="D34" s="48">
        <v>1.05E-4</v>
      </c>
      <c r="E34" s="48">
        <v>18.556433699999999</v>
      </c>
      <c r="F34" s="48">
        <v>2104.9002070000001</v>
      </c>
    </row>
    <row r="35" spans="1:6" x14ac:dyDescent="0.25">
      <c r="A35" s="21" t="s">
        <v>890</v>
      </c>
      <c r="B35" s="48">
        <v>195.87771135999978</v>
      </c>
      <c r="C35" s="48">
        <v>11.775377009999998</v>
      </c>
      <c r="D35" s="48"/>
      <c r="E35" s="48"/>
      <c r="F35" s="48"/>
    </row>
    <row r="36" spans="1:6" x14ac:dyDescent="0.25">
      <c r="A36" s="21" t="s">
        <v>888</v>
      </c>
      <c r="B36" s="48"/>
      <c r="C36" s="48"/>
      <c r="D36" s="48"/>
      <c r="E36" s="48">
        <v>1.0500000000000001E-2</v>
      </c>
      <c r="F36" s="48"/>
    </row>
    <row r="37" spans="1:6" x14ac:dyDescent="0.25">
      <c r="A37" s="21" t="s">
        <v>280</v>
      </c>
      <c r="B37" s="48"/>
      <c r="C37" s="48">
        <v>0.66500000000000004</v>
      </c>
      <c r="D37" s="48"/>
      <c r="E37" s="48"/>
      <c r="F37" s="48"/>
    </row>
    <row r="38" spans="1:6" x14ac:dyDescent="0.25">
      <c r="A38" s="21" t="s">
        <v>250</v>
      </c>
      <c r="B38" s="48"/>
      <c r="C38" s="48">
        <v>14.129252999999999</v>
      </c>
      <c r="D38" s="48"/>
      <c r="E38" s="48">
        <v>285.84458018999902</v>
      </c>
      <c r="F38" s="48"/>
    </row>
    <row r="39" spans="1:6" x14ac:dyDescent="0.25">
      <c r="A39" s="21" t="s">
        <v>337</v>
      </c>
      <c r="B39" s="48">
        <v>4.5335617799999897</v>
      </c>
      <c r="C39" s="48">
        <v>123.02137035</v>
      </c>
      <c r="D39" s="48"/>
      <c r="E39" s="48"/>
      <c r="F39" s="48"/>
    </row>
    <row r="40" spans="1:6" x14ac:dyDescent="0.25">
      <c r="A40" s="21" t="s">
        <v>891</v>
      </c>
      <c r="B40" s="48">
        <v>2.6722414399999903</v>
      </c>
      <c r="C40" s="48"/>
      <c r="D40" s="48"/>
      <c r="E40" s="48">
        <v>7.0535079599999992</v>
      </c>
      <c r="F40" s="48"/>
    </row>
    <row r="41" spans="1:6" x14ac:dyDescent="0.25">
      <c r="A41" s="21" t="s">
        <v>247</v>
      </c>
      <c r="B41" s="48">
        <v>240.02629411000001</v>
      </c>
      <c r="C41" s="48"/>
      <c r="D41" s="48"/>
      <c r="E41" s="48"/>
      <c r="F41" s="48"/>
    </row>
    <row r="42" spans="1:6" x14ac:dyDescent="0.25">
      <c r="A42" s="54" t="s">
        <v>253</v>
      </c>
      <c r="B42" s="49">
        <v>14.528386009999991</v>
      </c>
      <c r="C42" s="49">
        <v>7.2318E-3</v>
      </c>
      <c r="D42" s="49"/>
      <c r="E42" s="49"/>
      <c r="F42" s="49"/>
    </row>
  </sheetData>
  <mergeCells count="1">
    <mergeCell ref="A1:B1"/>
  </mergeCells>
  <hyperlinks>
    <hyperlink ref="H1" location="'Table of Content'!A1" display="Table of Content" xr:uid="{556286C7-57EC-434B-BA93-93EDBE79960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I287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311" bestFit="1" customWidth="1"/>
    <col min="2" max="2" width="29.81640625" style="311" customWidth="1"/>
    <col min="3" max="3" width="29" style="311" customWidth="1"/>
    <col min="4" max="4" width="30.26953125" style="311" customWidth="1"/>
    <col min="5" max="5" width="21.54296875" style="311" customWidth="1"/>
    <col min="6" max="6" width="31.26953125" style="311" bestFit="1" customWidth="1"/>
    <col min="7" max="16384" width="8.81640625" style="311"/>
  </cols>
  <sheetData>
    <row r="1" spans="1:9" ht="13" x14ac:dyDescent="0.3">
      <c r="A1" s="573" t="s">
        <v>931</v>
      </c>
      <c r="B1" s="573"/>
      <c r="C1" s="573"/>
      <c r="H1" s="572" t="s">
        <v>239</v>
      </c>
      <c r="I1" s="572"/>
    </row>
    <row r="2" spans="1:9" s="313" customFormat="1" ht="14.5" x14ac:dyDescent="0.35">
      <c r="A2" s="417" t="s">
        <v>904</v>
      </c>
      <c r="B2" s="418" t="s">
        <v>665</v>
      </c>
      <c r="C2" s="418" t="s">
        <v>526</v>
      </c>
      <c r="D2" s="418" t="s">
        <v>964</v>
      </c>
      <c r="E2" s="418" t="s">
        <v>628</v>
      </c>
      <c r="F2" s="419" t="s">
        <v>604</v>
      </c>
    </row>
    <row r="3" spans="1:9" ht="14.5" x14ac:dyDescent="0.35">
      <c r="A3" s="406" t="s">
        <v>877</v>
      </c>
      <c r="B3" s="235"/>
      <c r="C3" s="235"/>
      <c r="D3" s="235">
        <v>0.97399457999999905</v>
      </c>
      <c r="E3" s="235"/>
      <c r="F3" s="402"/>
    </row>
    <row r="4" spans="1:9" ht="14.5" x14ac:dyDescent="0.35">
      <c r="A4" s="406" t="s">
        <v>880</v>
      </c>
      <c r="B4" s="235"/>
      <c r="C4" s="235"/>
      <c r="D4" s="235">
        <v>13.003716599999999</v>
      </c>
      <c r="E4" s="235"/>
      <c r="F4" s="402"/>
    </row>
    <row r="5" spans="1:9" ht="14.5" x14ac:dyDescent="0.35">
      <c r="A5" s="406" t="s">
        <v>251</v>
      </c>
      <c r="B5" s="235"/>
      <c r="C5" s="235"/>
      <c r="D5" s="235"/>
      <c r="E5" s="235"/>
      <c r="F5" s="402">
        <v>33.368645239999999</v>
      </c>
    </row>
    <row r="6" spans="1:9" ht="14.5" x14ac:dyDescent="0.35">
      <c r="A6" s="406" t="s">
        <v>245</v>
      </c>
      <c r="B6" s="235"/>
      <c r="C6" s="235"/>
      <c r="D6" s="235">
        <v>128.76599378999978</v>
      </c>
      <c r="E6" s="235"/>
      <c r="F6" s="402">
        <v>58.028862389999901</v>
      </c>
    </row>
    <row r="7" spans="1:9" ht="14.5" x14ac:dyDescent="0.35">
      <c r="A7" s="406" t="s">
        <v>887</v>
      </c>
      <c r="B7" s="235"/>
      <c r="C7" s="235">
        <v>99.646071810000009</v>
      </c>
      <c r="D7" s="235"/>
      <c r="E7" s="235"/>
      <c r="F7" s="402"/>
    </row>
    <row r="8" spans="1:9" ht="14.5" x14ac:dyDescent="0.35">
      <c r="A8" s="406" t="s">
        <v>266</v>
      </c>
      <c r="B8" s="235">
        <v>267.44245239999998</v>
      </c>
      <c r="C8" s="235"/>
      <c r="D8" s="235"/>
      <c r="E8" s="235"/>
      <c r="F8" s="402"/>
    </row>
    <row r="9" spans="1:9" ht="14.5" x14ac:dyDescent="0.35">
      <c r="A9" s="406" t="s">
        <v>246</v>
      </c>
      <c r="B9" s="235">
        <v>100.69747771999999</v>
      </c>
      <c r="C9" s="235">
        <v>158.3905805</v>
      </c>
      <c r="D9" s="235"/>
      <c r="E9" s="235"/>
      <c r="F9" s="402"/>
    </row>
    <row r="10" spans="1:9" ht="14.5" x14ac:dyDescent="0.35">
      <c r="A10" s="406" t="s">
        <v>249</v>
      </c>
      <c r="B10" s="235"/>
      <c r="C10" s="235"/>
      <c r="D10" s="235">
        <v>0.44820199999999999</v>
      </c>
      <c r="E10" s="235"/>
      <c r="F10" s="402"/>
    </row>
    <row r="11" spans="1:9" ht="14.5" x14ac:dyDescent="0.35">
      <c r="A11" s="406" t="s">
        <v>885</v>
      </c>
      <c r="B11" s="235"/>
      <c r="C11" s="235"/>
      <c r="D11" s="235">
        <v>1.2347345499999998</v>
      </c>
      <c r="E11" s="235"/>
      <c r="F11" s="402"/>
    </row>
    <row r="12" spans="1:9" ht="14.5" x14ac:dyDescent="0.35">
      <c r="A12" s="406" t="s">
        <v>889</v>
      </c>
      <c r="B12" s="235"/>
      <c r="C12" s="235"/>
      <c r="D12" s="235"/>
      <c r="E12" s="235"/>
      <c r="F12" s="402">
        <v>76.642454100000009</v>
      </c>
    </row>
    <row r="13" spans="1:9" ht="14.5" x14ac:dyDescent="0.35">
      <c r="A13" s="406" t="s">
        <v>795</v>
      </c>
      <c r="B13" s="235"/>
      <c r="C13" s="235"/>
      <c r="D13" s="235"/>
      <c r="E13" s="235"/>
      <c r="F13" s="402">
        <v>6.8314869699999905</v>
      </c>
    </row>
    <row r="14" spans="1:9" ht="14.5" x14ac:dyDescent="0.35">
      <c r="A14" s="406" t="s">
        <v>797</v>
      </c>
      <c r="B14" s="235"/>
      <c r="C14" s="235"/>
      <c r="D14" s="235">
        <v>0.69456154000000003</v>
      </c>
      <c r="E14" s="235"/>
      <c r="F14" s="402"/>
    </row>
    <row r="15" spans="1:9" ht="14.5" x14ac:dyDescent="0.35">
      <c r="A15" s="406" t="s">
        <v>295</v>
      </c>
      <c r="B15" s="235"/>
      <c r="C15" s="235"/>
      <c r="D15" s="235">
        <v>1.3887522800000001</v>
      </c>
      <c r="E15" s="235"/>
      <c r="F15" s="402"/>
    </row>
    <row r="16" spans="1:9" ht="14.5" x14ac:dyDescent="0.35">
      <c r="A16" s="406" t="s">
        <v>248</v>
      </c>
      <c r="B16" s="235"/>
      <c r="C16" s="235"/>
      <c r="D16" s="235">
        <v>0.97096582999999903</v>
      </c>
      <c r="E16" s="235"/>
      <c r="F16" s="402"/>
    </row>
    <row r="17" spans="1:6" ht="14.5" x14ac:dyDescent="0.35">
      <c r="A17" s="406" t="s">
        <v>235</v>
      </c>
      <c r="B17" s="235"/>
      <c r="C17" s="235">
        <v>118.391935689999</v>
      </c>
      <c r="D17" s="235"/>
      <c r="E17" s="235">
        <v>0.75957219999999903</v>
      </c>
      <c r="F17" s="402">
        <v>9.2721787100000004</v>
      </c>
    </row>
    <row r="18" spans="1:6" ht="14.5" x14ac:dyDescent="0.35">
      <c r="A18" s="406" t="s">
        <v>890</v>
      </c>
      <c r="B18" s="235"/>
      <c r="C18" s="235"/>
      <c r="D18" s="235">
        <v>1.8531993100000002</v>
      </c>
      <c r="E18" s="235"/>
      <c r="F18" s="402"/>
    </row>
    <row r="19" spans="1:6" ht="14.5" x14ac:dyDescent="0.35">
      <c r="A19" s="406" t="s">
        <v>250</v>
      </c>
      <c r="B19" s="235"/>
      <c r="C19" s="235"/>
      <c r="D19" s="235"/>
      <c r="E19" s="235"/>
      <c r="F19" s="402">
        <v>129.16221504999899</v>
      </c>
    </row>
    <row r="20" spans="1:6" ht="13.5" customHeight="1" x14ac:dyDescent="0.35">
      <c r="A20" s="406" t="s">
        <v>891</v>
      </c>
      <c r="B20" s="235"/>
      <c r="C20" s="235"/>
      <c r="D20" s="235"/>
      <c r="E20" s="235"/>
      <c r="F20" s="402">
        <v>6.4141303800000005</v>
      </c>
    </row>
    <row r="21" spans="1:6" ht="14.5" x14ac:dyDescent="0.35">
      <c r="A21" s="406" t="s">
        <v>247</v>
      </c>
      <c r="B21" s="235"/>
      <c r="C21" s="235"/>
      <c r="D21" s="235">
        <v>135.94899845999979</v>
      </c>
      <c r="E21" s="235">
        <v>160.06700146999898</v>
      </c>
      <c r="F21" s="402"/>
    </row>
    <row r="22" spans="1:6" x14ac:dyDescent="0.25">
      <c r="B22" s="312"/>
      <c r="C22" s="312"/>
    </row>
    <row r="23" spans="1:6" x14ac:dyDescent="0.25">
      <c r="B23" s="312"/>
      <c r="C23" s="312"/>
    </row>
    <row r="24" spans="1:6" x14ac:dyDescent="0.25">
      <c r="B24" s="312"/>
      <c r="C24" s="312"/>
    </row>
    <row r="25" spans="1:6" x14ac:dyDescent="0.25">
      <c r="B25" s="312"/>
      <c r="C25" s="312"/>
    </row>
    <row r="26" spans="1:6" x14ac:dyDescent="0.25">
      <c r="B26" s="312"/>
      <c r="C26" s="312"/>
    </row>
    <row r="27" spans="1:6" x14ac:dyDescent="0.25">
      <c r="B27" s="312"/>
      <c r="C27" s="312"/>
    </row>
    <row r="28" spans="1:6" x14ac:dyDescent="0.25">
      <c r="B28" s="312"/>
      <c r="C28" s="312"/>
    </row>
    <row r="29" spans="1:6" x14ac:dyDescent="0.25">
      <c r="B29" s="312"/>
      <c r="C29" s="312"/>
    </row>
    <row r="30" spans="1:6" x14ac:dyDescent="0.25">
      <c r="B30" s="312"/>
      <c r="C30" s="312"/>
    </row>
    <row r="31" spans="1:6" x14ac:dyDescent="0.25">
      <c r="B31" s="312"/>
      <c r="C31" s="312"/>
    </row>
    <row r="32" spans="1:6" x14ac:dyDescent="0.25">
      <c r="B32" s="312"/>
      <c r="C32" s="312"/>
    </row>
    <row r="33" spans="2:3" x14ac:dyDescent="0.25">
      <c r="B33" s="312"/>
      <c r="C33" s="312"/>
    </row>
    <row r="34" spans="2:3" x14ac:dyDescent="0.25">
      <c r="B34" s="312"/>
      <c r="C34" s="312"/>
    </row>
    <row r="35" spans="2:3" x14ac:dyDescent="0.25">
      <c r="B35" s="312"/>
      <c r="C35" s="312"/>
    </row>
    <row r="36" spans="2:3" x14ac:dyDescent="0.25">
      <c r="B36" s="312"/>
      <c r="C36" s="312"/>
    </row>
    <row r="37" spans="2:3" x14ac:dyDescent="0.25">
      <c r="B37" s="312"/>
      <c r="C37" s="312"/>
    </row>
    <row r="38" spans="2:3" x14ac:dyDescent="0.25">
      <c r="B38" s="312"/>
      <c r="C38" s="312"/>
    </row>
    <row r="39" spans="2:3" x14ac:dyDescent="0.25">
      <c r="B39" s="312"/>
      <c r="C39" s="312"/>
    </row>
    <row r="40" spans="2:3" x14ac:dyDescent="0.25">
      <c r="B40" s="312"/>
      <c r="C40" s="312"/>
    </row>
    <row r="41" spans="2:3" x14ac:dyDescent="0.25">
      <c r="B41" s="312"/>
      <c r="C41" s="312"/>
    </row>
    <row r="42" spans="2:3" x14ac:dyDescent="0.25">
      <c r="B42" s="312"/>
      <c r="C42" s="312"/>
    </row>
    <row r="43" spans="2:3" x14ac:dyDescent="0.25">
      <c r="B43" s="312"/>
      <c r="C43" s="312"/>
    </row>
    <row r="44" spans="2:3" x14ac:dyDescent="0.25">
      <c r="B44" s="312"/>
      <c r="C44" s="312"/>
    </row>
    <row r="45" spans="2:3" x14ac:dyDescent="0.25">
      <c r="B45" s="312"/>
      <c r="C45" s="312"/>
    </row>
    <row r="46" spans="2:3" x14ac:dyDescent="0.25">
      <c r="B46" s="312"/>
      <c r="C46" s="312"/>
    </row>
    <row r="47" spans="2:3" x14ac:dyDescent="0.25">
      <c r="B47" s="312"/>
      <c r="C47" s="312"/>
    </row>
    <row r="48" spans="2:3" x14ac:dyDescent="0.25">
      <c r="B48" s="312"/>
      <c r="C48" s="312"/>
    </row>
    <row r="49" spans="2:3" x14ac:dyDescent="0.25">
      <c r="B49" s="312"/>
      <c r="C49" s="312"/>
    </row>
    <row r="50" spans="2:3" x14ac:dyDescent="0.25">
      <c r="B50" s="312"/>
      <c r="C50" s="312"/>
    </row>
    <row r="51" spans="2:3" x14ac:dyDescent="0.25">
      <c r="B51" s="312"/>
      <c r="C51" s="312"/>
    </row>
    <row r="52" spans="2:3" x14ac:dyDescent="0.25">
      <c r="B52" s="312"/>
      <c r="C52" s="312"/>
    </row>
    <row r="53" spans="2:3" x14ac:dyDescent="0.25">
      <c r="B53" s="312"/>
      <c r="C53" s="312"/>
    </row>
    <row r="54" spans="2:3" x14ac:dyDescent="0.25">
      <c r="B54" s="312"/>
      <c r="C54" s="312"/>
    </row>
    <row r="55" spans="2:3" x14ac:dyDescent="0.25">
      <c r="B55" s="312"/>
      <c r="C55" s="312"/>
    </row>
    <row r="56" spans="2:3" x14ac:dyDescent="0.25">
      <c r="B56" s="312"/>
      <c r="C56" s="312"/>
    </row>
    <row r="57" spans="2:3" x14ac:dyDescent="0.25">
      <c r="B57" s="312"/>
      <c r="C57" s="312"/>
    </row>
    <row r="58" spans="2:3" x14ac:dyDescent="0.25">
      <c r="B58" s="312"/>
      <c r="C58" s="312"/>
    </row>
    <row r="59" spans="2:3" x14ac:dyDescent="0.25">
      <c r="B59" s="312"/>
      <c r="C59" s="312"/>
    </row>
    <row r="60" spans="2:3" x14ac:dyDescent="0.25">
      <c r="B60" s="312"/>
      <c r="C60" s="312"/>
    </row>
    <row r="61" spans="2:3" x14ac:dyDescent="0.25">
      <c r="B61" s="312"/>
      <c r="C61" s="312"/>
    </row>
    <row r="62" spans="2:3" x14ac:dyDescent="0.25">
      <c r="B62" s="312"/>
      <c r="C62" s="312"/>
    </row>
    <row r="63" spans="2:3" x14ac:dyDescent="0.25">
      <c r="B63" s="312"/>
      <c r="C63" s="312"/>
    </row>
    <row r="64" spans="2:3" x14ac:dyDescent="0.25">
      <c r="B64" s="312"/>
      <c r="C64" s="312"/>
    </row>
    <row r="65" spans="1:3" x14ac:dyDescent="0.25">
      <c r="B65" s="312"/>
      <c r="C65" s="312"/>
    </row>
    <row r="66" spans="1:3" x14ac:dyDescent="0.25">
      <c r="B66" s="312"/>
      <c r="C66" s="312"/>
    </row>
    <row r="67" spans="1:3" x14ac:dyDescent="0.25">
      <c r="B67" s="312"/>
      <c r="C67" s="312"/>
    </row>
    <row r="68" spans="1:3" x14ac:dyDescent="0.25">
      <c r="B68" s="312"/>
      <c r="C68" s="312"/>
    </row>
    <row r="69" spans="1:3" x14ac:dyDescent="0.25">
      <c r="B69" s="312"/>
      <c r="C69" s="312"/>
    </row>
    <row r="70" spans="1:3" x14ac:dyDescent="0.25">
      <c r="A70" s="312"/>
      <c r="B70" s="312"/>
      <c r="C70" s="312"/>
    </row>
    <row r="71" spans="1:3" x14ac:dyDescent="0.25">
      <c r="A71" s="312"/>
      <c r="B71" s="312"/>
      <c r="C71" s="312"/>
    </row>
    <row r="72" spans="1:3" x14ac:dyDescent="0.25">
      <c r="A72" s="312"/>
      <c r="B72" s="312"/>
      <c r="C72" s="312"/>
    </row>
    <row r="73" spans="1:3" x14ac:dyDescent="0.25">
      <c r="A73" s="312"/>
      <c r="B73" s="312"/>
      <c r="C73" s="312"/>
    </row>
    <row r="74" spans="1:3" x14ac:dyDescent="0.25">
      <c r="A74" s="312"/>
      <c r="B74" s="312"/>
      <c r="C74" s="312"/>
    </row>
    <row r="75" spans="1:3" x14ac:dyDescent="0.25">
      <c r="A75" s="312"/>
      <c r="B75" s="312"/>
      <c r="C75" s="312"/>
    </row>
    <row r="76" spans="1:3" x14ac:dyDescent="0.25">
      <c r="A76" s="312"/>
      <c r="B76" s="312"/>
      <c r="C76" s="312"/>
    </row>
    <row r="77" spans="1:3" x14ac:dyDescent="0.25">
      <c r="A77" s="312"/>
      <c r="B77" s="312"/>
      <c r="C77" s="312"/>
    </row>
    <row r="78" spans="1:3" x14ac:dyDescent="0.25">
      <c r="A78" s="312"/>
      <c r="B78" s="312"/>
      <c r="C78" s="312"/>
    </row>
    <row r="79" spans="1:3" x14ac:dyDescent="0.25">
      <c r="A79" s="312"/>
      <c r="B79" s="312"/>
      <c r="C79" s="312"/>
    </row>
    <row r="80" spans="1:3" x14ac:dyDescent="0.25">
      <c r="A80" s="312"/>
      <c r="B80" s="312"/>
      <c r="C80" s="312"/>
    </row>
    <row r="81" spans="1:3" x14ac:dyDescent="0.25">
      <c r="A81" s="312"/>
      <c r="B81" s="312"/>
      <c r="C81" s="312"/>
    </row>
    <row r="82" spans="1:3" x14ac:dyDescent="0.25">
      <c r="A82" s="312"/>
      <c r="B82" s="312"/>
      <c r="C82" s="312"/>
    </row>
    <row r="83" spans="1:3" x14ac:dyDescent="0.25">
      <c r="A83" s="312"/>
      <c r="B83" s="312"/>
      <c r="C83" s="312"/>
    </row>
    <row r="84" spans="1:3" x14ac:dyDescent="0.25">
      <c r="A84" s="312"/>
      <c r="B84" s="312"/>
      <c r="C84" s="312"/>
    </row>
    <row r="85" spans="1:3" x14ac:dyDescent="0.25">
      <c r="A85" s="312"/>
      <c r="B85" s="312"/>
      <c r="C85" s="312"/>
    </row>
    <row r="86" spans="1:3" x14ac:dyDescent="0.25">
      <c r="A86" s="312"/>
      <c r="B86" s="312"/>
      <c r="C86" s="312"/>
    </row>
    <row r="87" spans="1:3" x14ac:dyDescent="0.25">
      <c r="A87" s="312"/>
      <c r="B87" s="312"/>
      <c r="C87" s="312"/>
    </row>
    <row r="88" spans="1:3" x14ac:dyDescent="0.25">
      <c r="A88" s="312"/>
      <c r="B88" s="312"/>
      <c r="C88" s="312"/>
    </row>
    <row r="89" spans="1:3" x14ac:dyDescent="0.25">
      <c r="A89" s="312"/>
      <c r="B89" s="312"/>
      <c r="C89" s="312"/>
    </row>
    <row r="90" spans="1:3" x14ac:dyDescent="0.25">
      <c r="A90" s="312"/>
      <c r="B90" s="312"/>
      <c r="C90" s="312"/>
    </row>
    <row r="91" spans="1:3" x14ac:dyDescent="0.25">
      <c r="A91" s="312"/>
      <c r="B91" s="312"/>
      <c r="C91" s="312"/>
    </row>
    <row r="92" spans="1:3" x14ac:dyDescent="0.25">
      <c r="A92" s="312"/>
      <c r="B92" s="312"/>
      <c r="C92" s="312"/>
    </row>
    <row r="93" spans="1:3" x14ac:dyDescent="0.25">
      <c r="A93" s="312"/>
      <c r="B93" s="312"/>
      <c r="C93" s="312"/>
    </row>
    <row r="94" spans="1:3" x14ac:dyDescent="0.25">
      <c r="A94" s="312"/>
      <c r="B94" s="312"/>
      <c r="C94" s="312"/>
    </row>
    <row r="95" spans="1:3" x14ac:dyDescent="0.25">
      <c r="A95" s="312"/>
      <c r="B95" s="312"/>
      <c r="C95" s="312"/>
    </row>
    <row r="96" spans="1:3" x14ac:dyDescent="0.25">
      <c r="A96" s="312"/>
      <c r="B96" s="312"/>
      <c r="C96" s="312"/>
    </row>
    <row r="97" spans="1:3" x14ac:dyDescent="0.25">
      <c r="A97" s="312"/>
      <c r="B97" s="312"/>
      <c r="C97" s="312"/>
    </row>
    <row r="98" spans="1:3" x14ac:dyDescent="0.25">
      <c r="A98" s="312"/>
      <c r="B98" s="312"/>
      <c r="C98" s="312"/>
    </row>
    <row r="99" spans="1:3" x14ac:dyDescent="0.25">
      <c r="A99" s="312"/>
      <c r="B99" s="312"/>
      <c r="C99" s="312"/>
    </row>
    <row r="100" spans="1:3" x14ac:dyDescent="0.25">
      <c r="A100" s="312"/>
      <c r="B100" s="312"/>
      <c r="C100" s="312"/>
    </row>
    <row r="101" spans="1:3" x14ac:dyDescent="0.25">
      <c r="A101" s="312"/>
      <c r="B101" s="312"/>
      <c r="C101" s="312"/>
    </row>
    <row r="102" spans="1:3" x14ac:dyDescent="0.25">
      <c r="B102" s="312"/>
      <c r="C102" s="312"/>
    </row>
    <row r="103" spans="1:3" x14ac:dyDescent="0.25">
      <c r="B103" s="312"/>
      <c r="C103" s="312"/>
    </row>
    <row r="104" spans="1:3" x14ac:dyDescent="0.25">
      <c r="B104" s="312"/>
      <c r="C104" s="312"/>
    </row>
    <row r="105" spans="1:3" x14ac:dyDescent="0.25">
      <c r="B105" s="312"/>
      <c r="C105" s="312"/>
    </row>
    <row r="106" spans="1:3" x14ac:dyDescent="0.25">
      <c r="B106" s="312"/>
      <c r="C106" s="312"/>
    </row>
    <row r="107" spans="1:3" x14ac:dyDescent="0.25">
      <c r="B107" s="312"/>
      <c r="C107" s="312"/>
    </row>
    <row r="108" spans="1:3" x14ac:dyDescent="0.25">
      <c r="B108" s="312"/>
      <c r="C108" s="312"/>
    </row>
    <row r="109" spans="1:3" x14ac:dyDescent="0.25">
      <c r="B109" s="312"/>
      <c r="C109" s="312"/>
    </row>
    <row r="110" spans="1:3" x14ac:dyDescent="0.25">
      <c r="B110" s="312"/>
      <c r="C110" s="312"/>
    </row>
    <row r="111" spans="1:3" x14ac:dyDescent="0.25">
      <c r="B111" s="312"/>
      <c r="C111" s="312"/>
    </row>
    <row r="112" spans="1:3" x14ac:dyDescent="0.25">
      <c r="B112" s="312"/>
      <c r="C112" s="312"/>
    </row>
    <row r="113" spans="2:3" x14ac:dyDescent="0.25">
      <c r="B113" s="312"/>
      <c r="C113" s="312"/>
    </row>
    <row r="114" spans="2:3" x14ac:dyDescent="0.25">
      <c r="B114" s="312"/>
      <c r="C114" s="312"/>
    </row>
    <row r="115" spans="2:3" x14ac:dyDescent="0.25">
      <c r="B115" s="312"/>
      <c r="C115" s="312"/>
    </row>
    <row r="116" spans="2:3" x14ac:dyDescent="0.25">
      <c r="B116" s="312"/>
      <c r="C116" s="312"/>
    </row>
    <row r="117" spans="2:3" x14ac:dyDescent="0.25">
      <c r="B117" s="312"/>
      <c r="C117" s="312"/>
    </row>
    <row r="118" spans="2:3" x14ac:dyDescent="0.25">
      <c r="B118" s="312"/>
      <c r="C118" s="312"/>
    </row>
    <row r="119" spans="2:3" x14ac:dyDescent="0.25">
      <c r="B119" s="312"/>
      <c r="C119" s="312"/>
    </row>
    <row r="120" spans="2:3" x14ac:dyDescent="0.25">
      <c r="B120" s="312"/>
      <c r="C120" s="312"/>
    </row>
    <row r="121" spans="2:3" x14ac:dyDescent="0.25">
      <c r="B121" s="312"/>
      <c r="C121" s="312"/>
    </row>
    <row r="122" spans="2:3" x14ac:dyDescent="0.25">
      <c r="B122" s="312"/>
      <c r="C122" s="312"/>
    </row>
    <row r="123" spans="2:3" x14ac:dyDescent="0.25">
      <c r="B123" s="312"/>
      <c r="C123" s="312"/>
    </row>
    <row r="124" spans="2:3" x14ac:dyDescent="0.25">
      <c r="B124" s="312"/>
      <c r="C124" s="312"/>
    </row>
    <row r="125" spans="2:3" x14ac:dyDescent="0.25">
      <c r="B125" s="312"/>
      <c r="C125" s="312"/>
    </row>
    <row r="126" spans="2:3" x14ac:dyDescent="0.25">
      <c r="B126" s="312"/>
      <c r="C126" s="312"/>
    </row>
    <row r="127" spans="2:3" x14ac:dyDescent="0.25">
      <c r="B127" s="312"/>
      <c r="C127" s="312"/>
    </row>
    <row r="128" spans="2:3" x14ac:dyDescent="0.25">
      <c r="B128" s="312"/>
      <c r="C128" s="312"/>
    </row>
    <row r="129" spans="1:3" x14ac:dyDescent="0.25">
      <c r="B129" s="312"/>
      <c r="C129" s="312"/>
    </row>
    <row r="130" spans="1:3" x14ac:dyDescent="0.25">
      <c r="B130" s="312"/>
      <c r="C130" s="312"/>
    </row>
    <row r="131" spans="1:3" x14ac:dyDescent="0.25">
      <c r="B131" s="312"/>
      <c r="C131" s="312"/>
    </row>
    <row r="132" spans="1:3" x14ac:dyDescent="0.25">
      <c r="B132" s="312"/>
      <c r="C132" s="312"/>
    </row>
    <row r="133" spans="1:3" x14ac:dyDescent="0.25">
      <c r="B133" s="312"/>
      <c r="C133" s="312"/>
    </row>
    <row r="134" spans="1:3" x14ac:dyDescent="0.25">
      <c r="A134" s="312"/>
      <c r="B134" s="312"/>
      <c r="C134" s="312"/>
    </row>
    <row r="135" spans="1:3" x14ac:dyDescent="0.25">
      <c r="A135" s="312"/>
      <c r="B135" s="312"/>
      <c r="C135" s="312"/>
    </row>
    <row r="136" spans="1:3" x14ac:dyDescent="0.25">
      <c r="A136" s="312"/>
      <c r="B136" s="312"/>
      <c r="C136" s="312"/>
    </row>
    <row r="137" spans="1:3" x14ac:dyDescent="0.25">
      <c r="A137" s="312"/>
      <c r="B137" s="312"/>
      <c r="C137" s="312"/>
    </row>
    <row r="138" spans="1:3" x14ac:dyDescent="0.25">
      <c r="A138" s="312"/>
      <c r="B138" s="312"/>
      <c r="C138" s="312"/>
    </row>
    <row r="139" spans="1:3" x14ac:dyDescent="0.25">
      <c r="A139" s="312"/>
      <c r="B139" s="312"/>
      <c r="C139" s="312"/>
    </row>
    <row r="140" spans="1:3" x14ac:dyDescent="0.25">
      <c r="A140" s="312"/>
      <c r="B140" s="312"/>
      <c r="C140" s="312"/>
    </row>
    <row r="141" spans="1:3" x14ac:dyDescent="0.25">
      <c r="A141" s="312"/>
      <c r="B141" s="312"/>
      <c r="C141" s="312"/>
    </row>
    <row r="142" spans="1:3" x14ac:dyDescent="0.25">
      <c r="A142" s="312"/>
      <c r="B142" s="312"/>
      <c r="C142" s="312"/>
    </row>
    <row r="143" spans="1:3" x14ac:dyDescent="0.25">
      <c r="A143" s="312"/>
      <c r="B143" s="312"/>
      <c r="C143" s="312"/>
    </row>
    <row r="144" spans="1:3" x14ac:dyDescent="0.25">
      <c r="A144" s="312"/>
      <c r="B144" s="312"/>
      <c r="C144" s="312"/>
    </row>
    <row r="145" spans="1:3" x14ac:dyDescent="0.25">
      <c r="A145" s="312"/>
      <c r="B145" s="312"/>
      <c r="C145" s="312"/>
    </row>
    <row r="146" spans="1:3" x14ac:dyDescent="0.25">
      <c r="A146" s="312"/>
      <c r="B146" s="312"/>
      <c r="C146" s="312"/>
    </row>
    <row r="147" spans="1:3" x14ac:dyDescent="0.25">
      <c r="A147" s="312"/>
      <c r="B147" s="312"/>
      <c r="C147" s="312"/>
    </row>
    <row r="148" spans="1:3" x14ac:dyDescent="0.25">
      <c r="A148" s="312"/>
      <c r="B148" s="312"/>
      <c r="C148" s="312"/>
    </row>
    <row r="149" spans="1:3" x14ac:dyDescent="0.25">
      <c r="A149" s="312"/>
      <c r="B149" s="312"/>
      <c r="C149" s="312"/>
    </row>
    <row r="150" spans="1:3" x14ac:dyDescent="0.25">
      <c r="A150" s="312"/>
      <c r="B150" s="312"/>
      <c r="C150" s="312"/>
    </row>
    <row r="151" spans="1:3" x14ac:dyDescent="0.25">
      <c r="A151" s="312"/>
      <c r="B151" s="312"/>
      <c r="C151" s="312"/>
    </row>
    <row r="152" spans="1:3" x14ac:dyDescent="0.25">
      <c r="A152" s="312"/>
      <c r="B152" s="312"/>
      <c r="C152" s="312"/>
    </row>
    <row r="153" spans="1:3" x14ac:dyDescent="0.25">
      <c r="A153" s="312"/>
      <c r="B153" s="312"/>
      <c r="C153" s="312"/>
    </row>
    <row r="154" spans="1:3" x14ac:dyDescent="0.25">
      <c r="A154" s="312"/>
      <c r="B154" s="312"/>
      <c r="C154" s="312"/>
    </row>
    <row r="155" spans="1:3" x14ac:dyDescent="0.25">
      <c r="A155" s="312"/>
      <c r="B155" s="312"/>
      <c r="C155" s="312"/>
    </row>
    <row r="156" spans="1:3" x14ac:dyDescent="0.25">
      <c r="A156" s="312"/>
      <c r="B156" s="312"/>
      <c r="C156" s="312"/>
    </row>
    <row r="157" spans="1:3" x14ac:dyDescent="0.25">
      <c r="A157" s="312"/>
      <c r="B157" s="312"/>
      <c r="C157" s="312"/>
    </row>
    <row r="158" spans="1:3" x14ac:dyDescent="0.25">
      <c r="A158" s="312"/>
      <c r="B158" s="312"/>
      <c r="C158" s="312"/>
    </row>
    <row r="159" spans="1:3" x14ac:dyDescent="0.25">
      <c r="A159" s="312"/>
      <c r="B159" s="312"/>
      <c r="C159" s="312"/>
    </row>
    <row r="160" spans="1:3" x14ac:dyDescent="0.25">
      <c r="A160" s="312"/>
      <c r="B160" s="312"/>
      <c r="C160" s="312"/>
    </row>
    <row r="161" spans="1:3" x14ac:dyDescent="0.25">
      <c r="A161" s="312"/>
      <c r="B161" s="312"/>
      <c r="C161" s="312"/>
    </row>
    <row r="162" spans="1:3" x14ac:dyDescent="0.25">
      <c r="A162" s="312"/>
      <c r="B162" s="312"/>
      <c r="C162" s="312"/>
    </row>
    <row r="163" spans="1:3" x14ac:dyDescent="0.25">
      <c r="A163" s="312"/>
      <c r="B163" s="312"/>
      <c r="C163" s="312"/>
    </row>
    <row r="164" spans="1:3" x14ac:dyDescent="0.25">
      <c r="A164" s="312"/>
      <c r="B164" s="312"/>
      <c r="C164" s="312"/>
    </row>
    <row r="165" spans="1:3" x14ac:dyDescent="0.25">
      <c r="A165" s="312"/>
      <c r="B165" s="312"/>
      <c r="C165" s="312"/>
    </row>
    <row r="166" spans="1:3" x14ac:dyDescent="0.25">
      <c r="B166" s="312"/>
      <c r="C166" s="312"/>
    </row>
    <row r="167" spans="1:3" x14ac:dyDescent="0.25">
      <c r="B167" s="312"/>
      <c r="C167" s="312"/>
    </row>
    <row r="168" spans="1:3" x14ac:dyDescent="0.25">
      <c r="B168" s="312"/>
      <c r="C168" s="312"/>
    </row>
    <row r="169" spans="1:3" x14ac:dyDescent="0.25">
      <c r="B169" s="312"/>
      <c r="C169" s="312"/>
    </row>
    <row r="170" spans="1:3" x14ac:dyDescent="0.25">
      <c r="B170" s="312"/>
      <c r="C170" s="312"/>
    </row>
    <row r="171" spans="1:3" x14ac:dyDescent="0.25">
      <c r="B171" s="312"/>
      <c r="C171" s="312"/>
    </row>
    <row r="172" spans="1:3" x14ac:dyDescent="0.25">
      <c r="B172" s="312"/>
      <c r="C172" s="312"/>
    </row>
    <row r="173" spans="1:3" x14ac:dyDescent="0.25">
      <c r="B173" s="312"/>
      <c r="C173" s="312"/>
    </row>
    <row r="174" spans="1:3" x14ac:dyDescent="0.25">
      <c r="B174" s="312"/>
      <c r="C174" s="312"/>
    </row>
    <row r="175" spans="1:3" x14ac:dyDescent="0.25">
      <c r="B175" s="312"/>
      <c r="C175" s="312"/>
    </row>
    <row r="176" spans="1:3" x14ac:dyDescent="0.25">
      <c r="B176" s="312"/>
      <c r="C176" s="312"/>
    </row>
    <row r="177" spans="2:3" x14ac:dyDescent="0.25">
      <c r="B177" s="312"/>
      <c r="C177" s="312"/>
    </row>
    <row r="178" spans="2:3" x14ac:dyDescent="0.25">
      <c r="B178" s="312"/>
      <c r="C178" s="312"/>
    </row>
    <row r="179" spans="2:3" x14ac:dyDescent="0.25">
      <c r="B179" s="312"/>
      <c r="C179" s="312"/>
    </row>
    <row r="180" spans="2:3" x14ac:dyDescent="0.25">
      <c r="B180" s="312"/>
      <c r="C180" s="312"/>
    </row>
    <row r="181" spans="2:3" x14ac:dyDescent="0.25">
      <c r="B181" s="312"/>
      <c r="C181" s="312"/>
    </row>
    <row r="182" spans="2:3" x14ac:dyDescent="0.25">
      <c r="B182" s="312"/>
      <c r="C182" s="312"/>
    </row>
    <row r="183" spans="2:3" x14ac:dyDescent="0.25">
      <c r="B183" s="312"/>
      <c r="C183" s="312"/>
    </row>
    <row r="184" spans="2:3" x14ac:dyDescent="0.25">
      <c r="B184" s="312"/>
      <c r="C184" s="312"/>
    </row>
    <row r="185" spans="2:3" x14ac:dyDescent="0.25">
      <c r="B185" s="312"/>
      <c r="C185" s="312"/>
    </row>
    <row r="186" spans="2:3" x14ac:dyDescent="0.25">
      <c r="B186" s="312"/>
      <c r="C186" s="312"/>
    </row>
    <row r="187" spans="2:3" x14ac:dyDescent="0.25">
      <c r="B187" s="312"/>
      <c r="C187" s="312"/>
    </row>
    <row r="188" spans="2:3" x14ac:dyDescent="0.25">
      <c r="B188" s="312"/>
      <c r="C188" s="312"/>
    </row>
    <row r="189" spans="2:3" x14ac:dyDescent="0.25">
      <c r="B189" s="312"/>
      <c r="C189" s="312"/>
    </row>
    <row r="190" spans="2:3" x14ac:dyDescent="0.25">
      <c r="B190" s="312"/>
      <c r="C190" s="312"/>
    </row>
    <row r="191" spans="2:3" x14ac:dyDescent="0.25">
      <c r="B191" s="312"/>
      <c r="C191" s="312"/>
    </row>
    <row r="192" spans="2:3" x14ac:dyDescent="0.25">
      <c r="B192" s="312"/>
      <c r="C192" s="312"/>
    </row>
    <row r="193" spans="1:3" x14ac:dyDescent="0.25">
      <c r="B193" s="312"/>
      <c r="C193" s="312"/>
    </row>
    <row r="194" spans="1:3" x14ac:dyDescent="0.25">
      <c r="B194" s="312"/>
      <c r="C194" s="312"/>
    </row>
    <row r="195" spans="1:3" x14ac:dyDescent="0.25">
      <c r="B195" s="312"/>
      <c r="C195" s="312"/>
    </row>
    <row r="196" spans="1:3" x14ac:dyDescent="0.25">
      <c r="B196" s="312"/>
      <c r="C196" s="312"/>
    </row>
    <row r="197" spans="1:3" x14ac:dyDescent="0.25">
      <c r="B197" s="312"/>
      <c r="C197" s="312"/>
    </row>
    <row r="198" spans="1:3" x14ac:dyDescent="0.25">
      <c r="A198" s="312"/>
      <c r="B198" s="312"/>
      <c r="C198" s="312"/>
    </row>
    <row r="199" spans="1:3" x14ac:dyDescent="0.25">
      <c r="A199" s="312"/>
      <c r="B199" s="312"/>
      <c r="C199" s="312"/>
    </row>
    <row r="200" spans="1:3" x14ac:dyDescent="0.25">
      <c r="A200" s="312"/>
      <c r="B200" s="312"/>
      <c r="C200" s="312"/>
    </row>
    <row r="201" spans="1:3" x14ac:dyDescent="0.25">
      <c r="A201" s="312"/>
      <c r="B201" s="312"/>
      <c r="C201" s="312"/>
    </row>
    <row r="202" spans="1:3" x14ac:dyDescent="0.25">
      <c r="A202" s="312"/>
      <c r="B202" s="312"/>
      <c r="C202" s="312"/>
    </row>
    <row r="203" spans="1:3" x14ac:dyDescent="0.25">
      <c r="A203" s="312"/>
      <c r="B203" s="312"/>
      <c r="C203" s="312"/>
    </row>
    <row r="204" spans="1:3" x14ac:dyDescent="0.25">
      <c r="A204" s="312"/>
      <c r="B204" s="312"/>
      <c r="C204" s="312"/>
    </row>
    <row r="205" spans="1:3" x14ac:dyDescent="0.25">
      <c r="A205" s="312"/>
      <c r="B205" s="312"/>
      <c r="C205" s="312"/>
    </row>
    <row r="206" spans="1:3" x14ac:dyDescent="0.25">
      <c r="A206" s="312"/>
      <c r="B206" s="312"/>
      <c r="C206" s="312"/>
    </row>
    <row r="207" spans="1:3" x14ac:dyDescent="0.25">
      <c r="A207" s="312"/>
      <c r="B207" s="312"/>
      <c r="C207" s="312"/>
    </row>
    <row r="208" spans="1:3" x14ac:dyDescent="0.25">
      <c r="A208" s="312"/>
      <c r="B208" s="312"/>
      <c r="C208" s="312"/>
    </row>
    <row r="209" spans="1:3" x14ac:dyDescent="0.25">
      <c r="A209" s="312"/>
      <c r="B209" s="312"/>
      <c r="C209" s="312"/>
    </row>
    <row r="210" spans="1:3" x14ac:dyDescent="0.25">
      <c r="A210" s="312"/>
      <c r="B210" s="312"/>
      <c r="C210" s="312"/>
    </row>
    <row r="211" spans="1:3" x14ac:dyDescent="0.25">
      <c r="A211" s="312"/>
      <c r="B211" s="312"/>
      <c r="C211" s="312"/>
    </row>
    <row r="212" spans="1:3" x14ac:dyDescent="0.25">
      <c r="A212" s="312"/>
      <c r="B212" s="312"/>
      <c r="C212" s="312"/>
    </row>
    <row r="213" spans="1:3" x14ac:dyDescent="0.25">
      <c r="A213" s="312"/>
      <c r="B213" s="312"/>
      <c r="C213" s="312"/>
    </row>
    <row r="214" spans="1:3" x14ac:dyDescent="0.25">
      <c r="A214" s="312"/>
      <c r="B214" s="312"/>
      <c r="C214" s="312"/>
    </row>
    <row r="215" spans="1:3" x14ac:dyDescent="0.25">
      <c r="A215" s="312"/>
      <c r="B215" s="312"/>
      <c r="C215" s="312"/>
    </row>
    <row r="216" spans="1:3" x14ac:dyDescent="0.25">
      <c r="A216" s="312"/>
      <c r="B216" s="312"/>
      <c r="C216" s="312"/>
    </row>
    <row r="217" spans="1:3" x14ac:dyDescent="0.25">
      <c r="A217" s="312"/>
      <c r="B217" s="312"/>
      <c r="C217" s="312"/>
    </row>
    <row r="218" spans="1:3" x14ac:dyDescent="0.25">
      <c r="A218" s="312"/>
      <c r="B218" s="312"/>
      <c r="C218" s="312"/>
    </row>
    <row r="219" spans="1:3" x14ac:dyDescent="0.25">
      <c r="A219" s="312"/>
      <c r="B219" s="312"/>
      <c r="C219" s="312"/>
    </row>
    <row r="220" spans="1:3" x14ac:dyDescent="0.25">
      <c r="A220" s="312"/>
      <c r="B220" s="312"/>
      <c r="C220" s="312"/>
    </row>
    <row r="221" spans="1:3" x14ac:dyDescent="0.25">
      <c r="A221" s="312"/>
      <c r="B221" s="312"/>
      <c r="C221" s="312"/>
    </row>
    <row r="222" spans="1:3" x14ac:dyDescent="0.25">
      <c r="A222" s="312"/>
      <c r="B222" s="312"/>
      <c r="C222" s="312"/>
    </row>
    <row r="223" spans="1:3" x14ac:dyDescent="0.25">
      <c r="A223" s="312"/>
      <c r="B223" s="312"/>
      <c r="C223" s="312"/>
    </row>
    <row r="224" spans="1:3" x14ac:dyDescent="0.25">
      <c r="A224" s="312"/>
      <c r="B224" s="312"/>
      <c r="C224" s="312"/>
    </row>
    <row r="225" spans="1:3" x14ac:dyDescent="0.25">
      <c r="A225" s="312"/>
      <c r="B225" s="312"/>
      <c r="C225" s="312"/>
    </row>
    <row r="226" spans="1:3" x14ac:dyDescent="0.25">
      <c r="A226" s="312"/>
      <c r="B226" s="312"/>
      <c r="C226" s="312"/>
    </row>
    <row r="227" spans="1:3" x14ac:dyDescent="0.25">
      <c r="A227" s="312"/>
      <c r="B227" s="312"/>
      <c r="C227" s="312"/>
    </row>
    <row r="228" spans="1:3" x14ac:dyDescent="0.25">
      <c r="A228" s="312"/>
      <c r="B228" s="312"/>
      <c r="C228" s="312"/>
    </row>
    <row r="229" spans="1:3" x14ac:dyDescent="0.25">
      <c r="A229" s="312"/>
      <c r="B229" s="312"/>
      <c r="C229" s="312"/>
    </row>
    <row r="230" spans="1:3" x14ac:dyDescent="0.25">
      <c r="B230" s="312"/>
    </row>
    <row r="231" spans="1:3" x14ac:dyDescent="0.25">
      <c r="B231" s="312"/>
    </row>
    <row r="232" spans="1:3" x14ac:dyDescent="0.25">
      <c r="B232" s="312"/>
    </row>
    <row r="233" spans="1:3" x14ac:dyDescent="0.25">
      <c r="B233" s="312"/>
    </row>
    <row r="234" spans="1:3" x14ac:dyDescent="0.25">
      <c r="B234" s="312"/>
    </row>
    <row r="235" spans="1:3" x14ac:dyDescent="0.25">
      <c r="B235" s="312"/>
    </row>
    <row r="236" spans="1:3" x14ac:dyDescent="0.25">
      <c r="B236" s="312"/>
    </row>
    <row r="237" spans="1:3" x14ac:dyDescent="0.25">
      <c r="B237" s="312"/>
    </row>
    <row r="238" spans="1:3" x14ac:dyDescent="0.25">
      <c r="B238" s="312"/>
    </row>
    <row r="239" spans="1:3" x14ac:dyDescent="0.25">
      <c r="B239" s="312"/>
    </row>
    <row r="240" spans="1:3" x14ac:dyDescent="0.25">
      <c r="B240" s="312"/>
    </row>
    <row r="241" spans="2:2" x14ac:dyDescent="0.25">
      <c r="B241" s="312"/>
    </row>
    <row r="242" spans="2:2" x14ac:dyDescent="0.25">
      <c r="B242" s="312"/>
    </row>
    <row r="243" spans="2:2" x14ac:dyDescent="0.25">
      <c r="B243" s="312"/>
    </row>
    <row r="244" spans="2:2" x14ac:dyDescent="0.25">
      <c r="B244" s="312"/>
    </row>
    <row r="245" spans="2:2" x14ac:dyDescent="0.25">
      <c r="B245" s="312"/>
    </row>
    <row r="246" spans="2:2" x14ac:dyDescent="0.25">
      <c r="B246" s="312"/>
    </row>
    <row r="247" spans="2:2" x14ac:dyDescent="0.25">
      <c r="B247" s="312"/>
    </row>
    <row r="248" spans="2:2" x14ac:dyDescent="0.25">
      <c r="B248" s="312"/>
    </row>
    <row r="249" spans="2:2" x14ac:dyDescent="0.25">
      <c r="B249" s="312"/>
    </row>
    <row r="250" spans="2:2" x14ac:dyDescent="0.25">
      <c r="B250" s="312"/>
    </row>
    <row r="251" spans="2:2" x14ac:dyDescent="0.25">
      <c r="B251" s="312"/>
    </row>
    <row r="252" spans="2:2" x14ac:dyDescent="0.25">
      <c r="B252" s="312"/>
    </row>
    <row r="253" spans="2:2" x14ac:dyDescent="0.25">
      <c r="B253" s="312"/>
    </row>
    <row r="254" spans="2:2" x14ac:dyDescent="0.25">
      <c r="B254" s="312"/>
    </row>
    <row r="255" spans="2:2" x14ac:dyDescent="0.25">
      <c r="B255" s="312"/>
    </row>
    <row r="256" spans="2:2" x14ac:dyDescent="0.25">
      <c r="B256" s="312"/>
    </row>
    <row r="257" spans="2:3" x14ac:dyDescent="0.25">
      <c r="B257" s="312"/>
    </row>
    <row r="258" spans="2:3" x14ac:dyDescent="0.25">
      <c r="B258" s="312"/>
    </row>
    <row r="259" spans="2:3" x14ac:dyDescent="0.25">
      <c r="B259" s="312"/>
    </row>
    <row r="260" spans="2:3" x14ac:dyDescent="0.25">
      <c r="B260" s="312"/>
    </row>
    <row r="261" spans="2:3" x14ac:dyDescent="0.25">
      <c r="B261" s="312"/>
    </row>
    <row r="262" spans="2:3" x14ac:dyDescent="0.25">
      <c r="B262" s="312"/>
      <c r="C262" s="312"/>
    </row>
    <row r="263" spans="2:3" x14ac:dyDescent="0.25">
      <c r="B263" s="312"/>
      <c r="C263" s="312"/>
    </row>
    <row r="264" spans="2:3" x14ac:dyDescent="0.25">
      <c r="B264" s="312"/>
      <c r="C264" s="312"/>
    </row>
    <row r="265" spans="2:3" x14ac:dyDescent="0.25">
      <c r="B265" s="312"/>
      <c r="C265" s="312"/>
    </row>
    <row r="266" spans="2:3" x14ac:dyDescent="0.25">
      <c r="B266" s="312"/>
      <c r="C266" s="312"/>
    </row>
    <row r="267" spans="2:3" x14ac:dyDescent="0.25">
      <c r="B267" s="312"/>
      <c r="C267" s="312"/>
    </row>
    <row r="268" spans="2:3" x14ac:dyDescent="0.25">
      <c r="B268" s="312"/>
      <c r="C268" s="312"/>
    </row>
    <row r="269" spans="2:3" x14ac:dyDescent="0.25">
      <c r="B269" s="312"/>
      <c r="C269" s="312"/>
    </row>
    <row r="270" spans="2:3" x14ac:dyDescent="0.25">
      <c r="B270" s="312"/>
      <c r="C270" s="312"/>
    </row>
    <row r="271" spans="2:3" x14ac:dyDescent="0.25">
      <c r="B271" s="312"/>
      <c r="C271" s="312"/>
    </row>
    <row r="272" spans="2:3" x14ac:dyDescent="0.25">
      <c r="B272" s="312"/>
      <c r="C272" s="312"/>
    </row>
    <row r="273" spans="2:3" x14ac:dyDescent="0.25">
      <c r="B273" s="312"/>
      <c r="C273" s="312"/>
    </row>
    <row r="274" spans="2:3" x14ac:dyDescent="0.25">
      <c r="B274" s="312"/>
      <c r="C274" s="312"/>
    </row>
    <row r="275" spans="2:3" x14ac:dyDescent="0.25">
      <c r="B275" s="312"/>
      <c r="C275" s="312"/>
    </row>
    <row r="276" spans="2:3" x14ac:dyDescent="0.25">
      <c r="B276" s="312"/>
      <c r="C276" s="312"/>
    </row>
    <row r="277" spans="2:3" x14ac:dyDescent="0.25">
      <c r="B277" s="312"/>
      <c r="C277" s="312"/>
    </row>
    <row r="278" spans="2:3" x14ac:dyDescent="0.25">
      <c r="B278" s="312"/>
      <c r="C278" s="312"/>
    </row>
    <row r="279" spans="2:3" x14ac:dyDescent="0.25">
      <c r="B279" s="312"/>
      <c r="C279" s="312"/>
    </row>
    <row r="280" spans="2:3" x14ac:dyDescent="0.25">
      <c r="B280" s="312"/>
      <c r="C280" s="312"/>
    </row>
    <row r="281" spans="2:3" x14ac:dyDescent="0.25">
      <c r="B281" s="312"/>
      <c r="C281" s="312"/>
    </row>
    <row r="282" spans="2:3" x14ac:dyDescent="0.25">
      <c r="B282" s="312"/>
      <c r="C282" s="312"/>
    </row>
    <row r="283" spans="2:3" x14ac:dyDescent="0.25">
      <c r="B283" s="312"/>
      <c r="C283" s="312"/>
    </row>
    <row r="284" spans="2:3" x14ac:dyDescent="0.25">
      <c r="B284" s="312"/>
      <c r="C284" s="312"/>
    </row>
    <row r="285" spans="2:3" x14ac:dyDescent="0.25">
      <c r="B285" s="312"/>
      <c r="C285" s="312"/>
    </row>
    <row r="286" spans="2:3" x14ac:dyDescent="0.25">
      <c r="B286" s="312"/>
      <c r="C286" s="312"/>
    </row>
    <row r="287" spans="2:3" x14ac:dyDescent="0.25">
      <c r="B287" s="312"/>
      <c r="C287" s="312"/>
    </row>
  </sheetData>
  <mergeCells count="2">
    <mergeCell ref="H1:I1"/>
    <mergeCell ref="A1:C1"/>
  </mergeCells>
  <hyperlinks>
    <hyperlink ref="H1" location="'Table of Content'!A1" display="Table of Content" xr:uid="{93205F22-92CC-495E-9645-4EEB29F4F27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1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41.08984375" style="31" customWidth="1"/>
    <col min="2" max="2" width="29.7265625" style="20" customWidth="1"/>
    <col min="3" max="3" width="28.7265625" style="20" customWidth="1"/>
    <col min="4" max="4" width="16.453125" style="20" bestFit="1" customWidth="1"/>
    <col min="5" max="5" width="13.90625" style="20" bestFit="1" customWidth="1"/>
    <col min="6" max="6" width="39.453125" style="17" customWidth="1"/>
    <col min="7" max="7" width="28" style="17" customWidth="1"/>
    <col min="8" max="8" width="28.6328125" style="17" customWidth="1"/>
    <col min="9" max="9" width="16.54296875" style="17" bestFit="1" customWidth="1"/>
    <col min="10" max="10" width="8.81640625" style="20"/>
    <col min="11" max="11" width="20.26953125" style="20" customWidth="1"/>
    <col min="12" max="16384" width="8.81640625" style="20"/>
  </cols>
  <sheetData>
    <row r="1" spans="1:11" ht="13" thickBot="1" x14ac:dyDescent="0.3">
      <c r="K1" s="214" t="s">
        <v>239</v>
      </c>
    </row>
    <row r="2" spans="1:11" ht="13" x14ac:dyDescent="0.3">
      <c r="A2" s="522" t="s">
        <v>949</v>
      </c>
      <c r="B2" s="523"/>
      <c r="C2" s="523"/>
      <c r="D2" s="523"/>
      <c r="E2" s="524"/>
      <c r="F2" s="213"/>
    </row>
    <row r="3" spans="1:11" s="32" customFormat="1" ht="26" x14ac:dyDescent="0.25">
      <c r="A3" s="330" t="s">
        <v>218</v>
      </c>
      <c r="B3" s="392" t="s">
        <v>937</v>
      </c>
      <c r="C3" s="392" t="s">
        <v>950</v>
      </c>
      <c r="D3" s="330" t="s">
        <v>728</v>
      </c>
      <c r="E3" s="330" t="s">
        <v>732</v>
      </c>
      <c r="F3" s="212"/>
      <c r="G3" s="212"/>
      <c r="H3" s="212"/>
      <c r="I3" s="212"/>
    </row>
    <row r="4" spans="1:11" ht="12.5" customHeight="1" x14ac:dyDescent="0.25">
      <c r="A4" s="211" t="s">
        <v>243</v>
      </c>
      <c r="B4" s="331">
        <f>B230</f>
        <v>13195.437450399992</v>
      </c>
      <c r="C4" s="331">
        <f>C230</f>
        <v>13195.615728059991</v>
      </c>
      <c r="D4" s="371">
        <f>C4-B4</f>
        <v>0.17827765999936673</v>
      </c>
      <c r="E4" s="210">
        <f>(C4/B4)-1</f>
        <v>1.3510553224849176E-5</v>
      </c>
    </row>
    <row r="5" spans="1:11" x14ac:dyDescent="0.25">
      <c r="A5" s="211" t="s">
        <v>219</v>
      </c>
      <c r="B5" s="331">
        <f>G258</f>
        <v>16078.224444529978</v>
      </c>
      <c r="C5" s="331">
        <f>H258</f>
        <v>16078.485242719977</v>
      </c>
      <c r="D5" s="371">
        <f>C5-B5</f>
        <v>0.26079818999824056</v>
      </c>
      <c r="E5" s="210">
        <f>(C5/B5)-1</f>
        <v>1.6220583989090542E-5</v>
      </c>
    </row>
    <row r="6" spans="1:11" ht="13" x14ac:dyDescent="0.3">
      <c r="A6" s="209" t="s">
        <v>474</v>
      </c>
      <c r="B6" s="333">
        <f>(B4-B5)</f>
        <v>-2882.7869941299869</v>
      </c>
      <c r="C6" s="332">
        <f>(C4-C5)</f>
        <v>-2882.8695146599857</v>
      </c>
      <c r="D6" s="372">
        <f>C6-B6</f>
        <v>-8.2520529998873826E-2</v>
      </c>
      <c r="E6" s="208">
        <f>(C6/B6)-1</f>
        <v>2.8625260960035703E-5</v>
      </c>
    </row>
    <row r="7" spans="1:11" ht="13" x14ac:dyDescent="0.3">
      <c r="A7" s="33"/>
      <c r="B7" s="206"/>
      <c r="C7" s="206"/>
      <c r="D7" s="206"/>
      <c r="E7" s="205"/>
    </row>
    <row r="8" spans="1:11" ht="13" x14ac:dyDescent="0.3">
      <c r="A8" s="33"/>
      <c r="B8" s="207"/>
      <c r="C8" s="207"/>
      <c r="D8" s="206"/>
      <c r="E8" s="205"/>
    </row>
    <row r="9" spans="1:11" ht="13" x14ac:dyDescent="0.3">
      <c r="A9" s="525" t="s">
        <v>731</v>
      </c>
      <c r="B9" s="526"/>
      <c r="C9" s="526"/>
      <c r="D9" s="527"/>
      <c r="F9" s="528" t="s">
        <v>730</v>
      </c>
      <c r="G9" s="529"/>
      <c r="H9" s="529"/>
      <c r="I9" s="530"/>
    </row>
    <row r="10" spans="1:11" s="34" customFormat="1" ht="29.5" customHeight="1" x14ac:dyDescent="0.35">
      <c r="A10" s="338" t="s">
        <v>729</v>
      </c>
      <c r="B10" s="392" t="s">
        <v>937</v>
      </c>
      <c r="C10" s="392" t="s">
        <v>950</v>
      </c>
      <c r="D10" s="336" t="s">
        <v>728</v>
      </c>
      <c r="E10" s="335"/>
      <c r="F10" s="337" t="s">
        <v>729</v>
      </c>
      <c r="G10" s="392" t="s">
        <v>937</v>
      </c>
      <c r="H10" s="392" t="s">
        <v>950</v>
      </c>
      <c r="I10" s="339" t="s">
        <v>728</v>
      </c>
      <c r="J10" s="335"/>
    </row>
    <row r="11" spans="1:11" s="31" customFormat="1" x14ac:dyDescent="0.25">
      <c r="A11" s="58" t="s">
        <v>672</v>
      </c>
      <c r="B11" s="190">
        <v>115.78468562999979</v>
      </c>
      <c r="C11" s="384">
        <v>115.96296328999979</v>
      </c>
      <c r="D11" s="190">
        <f t="shared" ref="D11:D74" si="0">C11-B11</f>
        <v>0.17827766000000622</v>
      </c>
      <c r="E11" s="334"/>
      <c r="F11" s="58" t="s">
        <v>488</v>
      </c>
      <c r="G11" s="190">
        <v>187.12422722999943</v>
      </c>
      <c r="H11" s="384">
        <v>188.26375713999931</v>
      </c>
      <c r="I11" s="513">
        <f t="shared" ref="I11:I74" si="1">H11-G11</f>
        <v>1.1395299099998795</v>
      </c>
      <c r="J11" s="334"/>
    </row>
    <row r="12" spans="1:11" s="31" customFormat="1" x14ac:dyDescent="0.25">
      <c r="A12" s="21" t="s">
        <v>482</v>
      </c>
      <c r="B12" s="189">
        <v>7.7693333999999883</v>
      </c>
      <c r="C12" s="378">
        <v>7.7703333999999877</v>
      </c>
      <c r="D12" s="189">
        <f t="shared" si="0"/>
        <v>9.9999999999944578E-4</v>
      </c>
      <c r="E12" s="334"/>
      <c r="F12" s="21" t="s">
        <v>558</v>
      </c>
      <c r="G12" s="189">
        <v>36.788604659999962</v>
      </c>
      <c r="H12" s="378">
        <v>37.113580419999977</v>
      </c>
      <c r="I12" s="514">
        <f t="shared" si="1"/>
        <v>0.32497576000001516</v>
      </c>
      <c r="J12" s="334"/>
    </row>
    <row r="13" spans="1:11" s="341" customFormat="1" x14ac:dyDescent="0.25">
      <c r="A13" s="21" t="s">
        <v>478</v>
      </c>
      <c r="B13" s="189">
        <v>116.96989663999977</v>
      </c>
      <c r="C13" s="378">
        <v>116.96989664</v>
      </c>
      <c r="D13" s="189">
        <f t="shared" si="0"/>
        <v>2.2737367544323206E-13</v>
      </c>
      <c r="E13" s="340"/>
      <c r="F13" s="21" t="s">
        <v>511</v>
      </c>
      <c r="G13" s="189">
        <v>69.192117719999928</v>
      </c>
      <c r="H13" s="378">
        <v>69.395937609999905</v>
      </c>
      <c r="I13" s="514">
        <f t="shared" si="1"/>
        <v>0.20381988999997702</v>
      </c>
      <c r="J13" s="340"/>
    </row>
    <row r="14" spans="1:11" ht="12.5" customHeight="1" x14ac:dyDescent="0.25">
      <c r="A14" s="21" t="s">
        <v>591</v>
      </c>
      <c r="B14" s="189">
        <v>70.670954779999903</v>
      </c>
      <c r="C14" s="189">
        <v>70.670954780000017</v>
      </c>
      <c r="D14" s="378">
        <f t="shared" si="0"/>
        <v>1.1368683772161603E-13</v>
      </c>
      <c r="E14" s="35"/>
      <c r="F14" s="21" t="s">
        <v>483</v>
      </c>
      <c r="G14" s="189">
        <v>75.19523921999992</v>
      </c>
      <c r="H14" s="378">
        <v>75.281142569999972</v>
      </c>
      <c r="I14" s="189">
        <f t="shared" si="1"/>
        <v>8.5903350000052114E-2</v>
      </c>
      <c r="J14" s="35"/>
    </row>
    <row r="15" spans="1:11" ht="12.5" customHeight="1" x14ac:dyDescent="0.25">
      <c r="A15" s="21" t="s">
        <v>722</v>
      </c>
      <c r="B15" s="189">
        <v>61.332606969999844</v>
      </c>
      <c r="C15" s="189">
        <v>61.332606969999951</v>
      </c>
      <c r="D15" s="378">
        <f t="shared" si="0"/>
        <v>1.0658141036401503E-13</v>
      </c>
      <c r="E15" s="63"/>
      <c r="F15" s="21" t="s">
        <v>581</v>
      </c>
      <c r="G15" s="189">
        <v>57.354032979999921</v>
      </c>
      <c r="H15" s="378">
        <v>57.37892315999995</v>
      </c>
      <c r="I15" s="189">
        <f t="shared" si="1"/>
        <v>2.4890180000028295E-2</v>
      </c>
      <c r="J15" s="35"/>
    </row>
    <row r="16" spans="1:11" x14ac:dyDescent="0.25">
      <c r="A16" s="21" t="s">
        <v>713</v>
      </c>
      <c r="B16" s="189">
        <v>56.270976499999868</v>
      </c>
      <c r="C16" s="189">
        <v>56.270976499999954</v>
      </c>
      <c r="D16" s="378">
        <f t="shared" si="0"/>
        <v>8.5265128291212022E-14</v>
      </c>
      <c r="E16" s="25"/>
      <c r="F16" s="21" t="s">
        <v>553</v>
      </c>
      <c r="G16" s="189">
        <v>78.481969899999839</v>
      </c>
      <c r="H16" s="378">
        <v>78.493046279999945</v>
      </c>
      <c r="I16" s="189">
        <f t="shared" si="1"/>
        <v>1.1076380000105246E-2</v>
      </c>
      <c r="J16" s="35"/>
    </row>
    <row r="17" spans="1:10" x14ac:dyDescent="0.25">
      <c r="A17" s="21" t="s">
        <v>569</v>
      </c>
      <c r="B17" s="189">
        <v>2.9664709999999896E-2</v>
      </c>
      <c r="C17" s="189">
        <v>2.9664709999999997E-2</v>
      </c>
      <c r="D17" s="378">
        <f t="shared" si="0"/>
        <v>1.0061396160665481E-16</v>
      </c>
      <c r="E17" s="25"/>
      <c r="F17" s="21" t="s">
        <v>498</v>
      </c>
      <c r="G17" s="189">
        <v>100.89198317999974</v>
      </c>
      <c r="H17" s="378">
        <v>100.89984592999983</v>
      </c>
      <c r="I17" s="189">
        <f t="shared" si="1"/>
        <v>7.8627500000862938E-3</v>
      </c>
      <c r="J17" s="35"/>
    </row>
    <row r="18" spans="1:10" x14ac:dyDescent="0.25">
      <c r="A18" s="21" t="s">
        <v>724</v>
      </c>
      <c r="B18" s="189">
        <v>86.982069070000009</v>
      </c>
      <c r="C18" s="189">
        <v>86.982069069999994</v>
      </c>
      <c r="D18" s="509">
        <f t="shared" si="0"/>
        <v>0</v>
      </c>
      <c r="E18" s="25"/>
      <c r="F18" s="21" t="s">
        <v>654</v>
      </c>
      <c r="G18" s="189">
        <v>1746.167835339998</v>
      </c>
      <c r="H18" s="378">
        <v>1746.174193899998</v>
      </c>
      <c r="I18" s="189">
        <f t="shared" si="1"/>
        <v>6.3585600000806153E-3</v>
      </c>
      <c r="J18" s="35"/>
    </row>
    <row r="19" spans="1:10" x14ac:dyDescent="0.25">
      <c r="A19" s="21" t="s">
        <v>721</v>
      </c>
      <c r="B19" s="189">
        <v>1.0188998899999979</v>
      </c>
      <c r="C19" s="189">
        <v>1.0188998899999979</v>
      </c>
      <c r="D19" s="509">
        <f t="shared" si="0"/>
        <v>0</v>
      </c>
      <c r="E19" s="25"/>
      <c r="F19" s="21" t="s">
        <v>517</v>
      </c>
      <c r="G19" s="189">
        <v>70.432860239999812</v>
      </c>
      <c r="H19" s="378">
        <v>70.437048209999759</v>
      </c>
      <c r="I19" s="189">
        <f t="shared" si="1"/>
        <v>4.1879699999469722E-3</v>
      </c>
      <c r="J19" s="35"/>
    </row>
    <row r="20" spans="1:10" x14ac:dyDescent="0.25">
      <c r="A20" s="21" t="s">
        <v>720</v>
      </c>
      <c r="B20" s="189">
        <v>4.5310268900000006</v>
      </c>
      <c r="C20" s="189">
        <v>4.5310268900000006</v>
      </c>
      <c r="D20" s="509">
        <f t="shared" si="0"/>
        <v>0</v>
      </c>
      <c r="E20" s="25"/>
      <c r="F20" s="21" t="s">
        <v>569</v>
      </c>
      <c r="G20" s="189">
        <v>6.7452651699999944</v>
      </c>
      <c r="H20" s="378">
        <v>6.7476222399999841</v>
      </c>
      <c r="I20" s="189">
        <f t="shared" si="1"/>
        <v>2.3570699999897471E-3</v>
      </c>
      <c r="J20" s="35"/>
    </row>
    <row r="21" spans="1:10" x14ac:dyDescent="0.25">
      <c r="A21" s="21" t="s">
        <v>719</v>
      </c>
      <c r="B21" s="189">
        <v>0.28695696999999998</v>
      </c>
      <c r="C21" s="189">
        <v>0.28695696999999998</v>
      </c>
      <c r="D21" s="509">
        <f t="shared" si="0"/>
        <v>0</v>
      </c>
      <c r="E21" s="25"/>
      <c r="F21" s="21" t="s">
        <v>544</v>
      </c>
      <c r="G21" s="189">
        <v>89.333069129999757</v>
      </c>
      <c r="H21" s="378">
        <v>89.335299649999698</v>
      </c>
      <c r="I21" s="189">
        <f t="shared" si="1"/>
        <v>2.2305199999408387E-3</v>
      </c>
      <c r="J21" s="35"/>
    </row>
    <row r="22" spans="1:10" x14ac:dyDescent="0.25">
      <c r="A22" s="21" t="s">
        <v>718</v>
      </c>
      <c r="B22" s="189">
        <v>0.16435353</v>
      </c>
      <c r="C22" s="189">
        <v>0.16435353</v>
      </c>
      <c r="D22" s="509">
        <f t="shared" si="0"/>
        <v>0</v>
      </c>
      <c r="E22" s="25"/>
      <c r="F22" s="21" t="s">
        <v>518</v>
      </c>
      <c r="G22" s="189">
        <v>155.2022513499999</v>
      </c>
      <c r="H22" s="378">
        <v>155.20326437999975</v>
      </c>
      <c r="I22" s="189">
        <f t="shared" si="1"/>
        <v>1.0130299998536429E-3</v>
      </c>
      <c r="J22" s="35"/>
    </row>
    <row r="23" spans="1:10" x14ac:dyDescent="0.25">
      <c r="A23" s="21" t="s">
        <v>716</v>
      </c>
      <c r="B23" s="189">
        <v>0.6552</v>
      </c>
      <c r="C23" s="189">
        <v>0.6552</v>
      </c>
      <c r="D23" s="378">
        <f t="shared" si="0"/>
        <v>0</v>
      </c>
      <c r="E23" s="25"/>
      <c r="F23" s="21" t="s">
        <v>622</v>
      </c>
      <c r="G23" s="189">
        <v>55.497357579999971</v>
      </c>
      <c r="H23" s="378">
        <v>55.498163189999879</v>
      </c>
      <c r="I23" s="189">
        <f t="shared" si="1"/>
        <v>8.0560999990808568E-4</v>
      </c>
      <c r="J23" s="35"/>
    </row>
    <row r="24" spans="1:10" x14ac:dyDescent="0.25">
      <c r="A24" s="21" t="s">
        <v>715</v>
      </c>
      <c r="B24" s="189">
        <v>1136.8492541299981</v>
      </c>
      <c r="C24" s="189">
        <v>1136.8492541299991</v>
      </c>
      <c r="D24" s="510">
        <f t="shared" si="0"/>
        <v>0</v>
      </c>
      <c r="E24" s="25"/>
      <c r="F24" s="21" t="s">
        <v>623</v>
      </c>
      <c r="G24" s="189">
        <v>8.7656232399999787</v>
      </c>
      <c r="H24" s="378">
        <v>8.7662273999999893</v>
      </c>
      <c r="I24" s="189">
        <f t="shared" si="1"/>
        <v>6.0416000001062287E-4</v>
      </c>
      <c r="J24" s="35"/>
    </row>
    <row r="25" spans="1:10" x14ac:dyDescent="0.25">
      <c r="A25" s="21" t="s">
        <v>714</v>
      </c>
      <c r="B25" s="189">
        <v>3.8935506399999902</v>
      </c>
      <c r="C25" s="189">
        <v>3.8935506399999902</v>
      </c>
      <c r="D25" s="511">
        <f t="shared" si="0"/>
        <v>0</v>
      </c>
      <c r="E25" s="25"/>
      <c r="F25" s="21" t="s">
        <v>559</v>
      </c>
      <c r="G25" s="189">
        <v>160.55871943999975</v>
      </c>
      <c r="H25" s="378">
        <v>160.5591014899997</v>
      </c>
      <c r="I25" s="189">
        <f t="shared" si="1"/>
        <v>3.8204999995627986E-4</v>
      </c>
      <c r="J25" s="35"/>
    </row>
    <row r="26" spans="1:10" x14ac:dyDescent="0.25">
      <c r="A26" s="21" t="s">
        <v>712</v>
      </c>
      <c r="B26" s="189">
        <v>51.360235590000002</v>
      </c>
      <c r="C26" s="189">
        <v>51.360235590000002</v>
      </c>
      <c r="D26" s="511">
        <f t="shared" si="0"/>
        <v>0</v>
      </c>
      <c r="E26" s="25"/>
      <c r="F26" s="21" t="s">
        <v>541</v>
      </c>
      <c r="G26" s="189">
        <v>303.60844412999978</v>
      </c>
      <c r="H26" s="378">
        <v>303.60864173999977</v>
      </c>
      <c r="I26" s="189">
        <f t="shared" si="1"/>
        <v>1.9760999998652551E-4</v>
      </c>
      <c r="J26" s="35"/>
    </row>
    <row r="27" spans="1:10" x14ac:dyDescent="0.25">
      <c r="A27" s="21" t="s">
        <v>710</v>
      </c>
      <c r="B27" s="189">
        <v>4.0801399999999899E-3</v>
      </c>
      <c r="C27" s="189">
        <v>4.0801399999999899E-3</v>
      </c>
      <c r="D27" s="378">
        <f t="shared" si="0"/>
        <v>0</v>
      </c>
      <c r="E27" s="25"/>
      <c r="F27" s="21" t="s">
        <v>701</v>
      </c>
      <c r="G27" s="189">
        <v>148.10287355999901</v>
      </c>
      <c r="H27" s="378">
        <v>148.10287356000001</v>
      </c>
      <c r="I27" s="189">
        <f t="shared" si="1"/>
        <v>9.9475983006414026E-13</v>
      </c>
      <c r="J27" s="35"/>
    </row>
    <row r="28" spans="1:10" x14ac:dyDescent="0.25">
      <c r="A28" s="21" t="s">
        <v>709</v>
      </c>
      <c r="B28" s="189">
        <v>2.800989999999999E-2</v>
      </c>
      <c r="C28" s="189">
        <v>2.800989999999999E-2</v>
      </c>
      <c r="D28" s="378">
        <f t="shared" si="0"/>
        <v>0</v>
      </c>
      <c r="E28" s="25"/>
      <c r="F28" s="21" t="s">
        <v>709</v>
      </c>
      <c r="G28" s="189">
        <v>116.27783895999971</v>
      </c>
      <c r="H28" s="378">
        <v>116.27783896</v>
      </c>
      <c r="I28" s="189">
        <f t="shared" si="1"/>
        <v>2.8421709430404007E-13</v>
      </c>
      <c r="J28" s="35"/>
    </row>
    <row r="29" spans="1:10" x14ac:dyDescent="0.25">
      <c r="A29" s="21" t="s">
        <v>706</v>
      </c>
      <c r="B29" s="189">
        <v>1.5163838499999902</v>
      </c>
      <c r="C29" s="189">
        <v>1.51638384999999</v>
      </c>
      <c r="D29" s="378">
        <f t="shared" si="0"/>
        <v>0</v>
      </c>
      <c r="E29" s="25"/>
      <c r="F29" s="21" t="s">
        <v>504</v>
      </c>
      <c r="G29" s="189">
        <v>131.21795059999951</v>
      </c>
      <c r="H29" s="378">
        <v>131.21795059999977</v>
      </c>
      <c r="I29" s="189">
        <f t="shared" si="1"/>
        <v>2.5579538487363607E-13</v>
      </c>
      <c r="J29" s="35"/>
    </row>
    <row r="30" spans="1:10" x14ac:dyDescent="0.25">
      <c r="A30" s="21" t="s">
        <v>705</v>
      </c>
      <c r="B30" s="189">
        <v>21.870803859999992</v>
      </c>
      <c r="C30" s="189">
        <v>21.870803859999985</v>
      </c>
      <c r="D30" s="378">
        <f t="shared" si="0"/>
        <v>0</v>
      </c>
      <c r="E30" s="25"/>
      <c r="F30" s="21" t="s">
        <v>695</v>
      </c>
      <c r="G30" s="189">
        <v>104.56306470999968</v>
      </c>
      <c r="H30" s="378">
        <v>104.56306470999986</v>
      </c>
      <c r="I30" s="189">
        <f t="shared" si="1"/>
        <v>1.8474111129762605E-13</v>
      </c>
      <c r="J30" s="35"/>
    </row>
    <row r="31" spans="1:10" x14ac:dyDescent="0.25">
      <c r="A31" s="21" t="s">
        <v>704</v>
      </c>
      <c r="B31" s="189">
        <v>12.558112170000001</v>
      </c>
      <c r="C31" s="189">
        <v>12.558112170000001</v>
      </c>
      <c r="D31" s="378">
        <f t="shared" si="0"/>
        <v>0</v>
      </c>
      <c r="E31" s="25"/>
      <c r="F31" s="21" t="s">
        <v>635</v>
      </c>
      <c r="G31" s="189">
        <v>40.066376979999887</v>
      </c>
      <c r="H31" s="378">
        <v>40.066376980000001</v>
      </c>
      <c r="I31" s="189">
        <f t="shared" si="1"/>
        <v>1.1368683772161603E-13</v>
      </c>
      <c r="J31" s="35"/>
    </row>
    <row r="32" spans="1:10" x14ac:dyDescent="0.25">
      <c r="A32" s="21" t="s">
        <v>727</v>
      </c>
      <c r="B32" s="189">
        <v>28.388028499999997</v>
      </c>
      <c r="C32" s="189">
        <v>28.388028499999997</v>
      </c>
      <c r="D32" s="378">
        <f t="shared" si="0"/>
        <v>0</v>
      </c>
      <c r="E32" s="25"/>
      <c r="F32" s="21" t="s">
        <v>571</v>
      </c>
      <c r="G32" s="189">
        <v>84.848893029999886</v>
      </c>
      <c r="H32" s="378">
        <v>84.848893029999999</v>
      </c>
      <c r="I32" s="189">
        <f t="shared" si="1"/>
        <v>1.1368683772161603E-13</v>
      </c>
      <c r="J32" s="35"/>
    </row>
    <row r="33" spans="1:10" x14ac:dyDescent="0.25">
      <c r="A33" s="21" t="s">
        <v>726</v>
      </c>
      <c r="B33" s="189">
        <v>47.690162549999989</v>
      </c>
      <c r="C33" s="189">
        <v>47.690162549999997</v>
      </c>
      <c r="D33" s="378">
        <f t="shared" si="0"/>
        <v>0</v>
      </c>
      <c r="E33" s="25"/>
      <c r="F33" s="21" t="s">
        <v>719</v>
      </c>
      <c r="G33" s="189">
        <v>62.951583899999733</v>
      </c>
      <c r="H33" s="378">
        <v>62.951583899999839</v>
      </c>
      <c r="I33" s="189">
        <f t="shared" si="1"/>
        <v>1.0658141036401503E-13</v>
      </c>
      <c r="J33" s="35"/>
    </row>
    <row r="34" spans="1:10" x14ac:dyDescent="0.25">
      <c r="A34" s="21" t="s">
        <v>703</v>
      </c>
      <c r="B34" s="189">
        <v>1.65898E-3</v>
      </c>
      <c r="C34" s="189">
        <v>1.65898E-3</v>
      </c>
      <c r="D34" s="378">
        <f t="shared" si="0"/>
        <v>0</v>
      </c>
      <c r="E34" s="25"/>
      <c r="F34" s="21" t="s">
        <v>727</v>
      </c>
      <c r="G34" s="189">
        <v>50.899572029999867</v>
      </c>
      <c r="H34" s="378">
        <v>50.899572029999959</v>
      </c>
      <c r="I34" s="189">
        <f t="shared" si="1"/>
        <v>9.2370555648813024E-14</v>
      </c>
      <c r="J34" s="35"/>
    </row>
    <row r="35" spans="1:10" x14ac:dyDescent="0.25">
      <c r="A35" s="21" t="s">
        <v>702</v>
      </c>
      <c r="B35" s="189">
        <v>1.4021294999999989</v>
      </c>
      <c r="C35" s="189">
        <v>1.4021294999999989</v>
      </c>
      <c r="D35" s="378">
        <f t="shared" si="0"/>
        <v>0</v>
      </c>
      <c r="E35" s="25"/>
      <c r="F35" s="21" t="s">
        <v>702</v>
      </c>
      <c r="G35" s="189">
        <v>54.942466559999886</v>
      </c>
      <c r="H35" s="378">
        <v>54.942466559999978</v>
      </c>
      <c r="I35" s="189">
        <f t="shared" si="1"/>
        <v>9.2370555648813024E-14</v>
      </c>
      <c r="J35" s="35"/>
    </row>
    <row r="36" spans="1:10" x14ac:dyDescent="0.25">
      <c r="A36" s="21" t="s">
        <v>701</v>
      </c>
      <c r="B36" s="189">
        <v>3.8381929999999988E-2</v>
      </c>
      <c r="C36" s="189">
        <v>3.8381929999999988E-2</v>
      </c>
      <c r="D36" s="378">
        <f t="shared" si="0"/>
        <v>0</v>
      </c>
      <c r="E36" s="25"/>
      <c r="F36" s="21" t="s">
        <v>715</v>
      </c>
      <c r="G36" s="189">
        <v>47.902819949999888</v>
      </c>
      <c r="H36" s="378">
        <v>47.902819949999966</v>
      </c>
      <c r="I36" s="189">
        <f t="shared" si="1"/>
        <v>7.815970093361102E-14</v>
      </c>
      <c r="J36" s="35"/>
    </row>
    <row r="37" spans="1:10" x14ac:dyDescent="0.25">
      <c r="A37" s="21" t="s">
        <v>700</v>
      </c>
      <c r="B37" s="189">
        <v>6.2109179999999972E-2</v>
      </c>
      <c r="C37" s="189">
        <v>6.2109179999999979E-2</v>
      </c>
      <c r="D37" s="378">
        <f t="shared" si="0"/>
        <v>0</v>
      </c>
      <c r="E37" s="25"/>
      <c r="F37" s="21" t="s">
        <v>552</v>
      </c>
      <c r="G37" s="189">
        <v>7.555797979999979</v>
      </c>
      <c r="H37" s="378">
        <v>7.5557979799999977</v>
      </c>
      <c r="I37" s="189">
        <f t="shared" si="1"/>
        <v>1.865174681370263E-14</v>
      </c>
      <c r="J37" s="35"/>
    </row>
    <row r="38" spans="1:10" x14ac:dyDescent="0.25">
      <c r="A38" s="21" t="s">
        <v>699</v>
      </c>
      <c r="B38" s="189">
        <v>6.8766299999999905E-2</v>
      </c>
      <c r="C38" s="189">
        <v>6.8766299999999905E-2</v>
      </c>
      <c r="D38" s="378">
        <f t="shared" si="0"/>
        <v>0</v>
      </c>
      <c r="E38" s="25"/>
      <c r="F38" s="21" t="s">
        <v>596</v>
      </c>
      <c r="G38" s="189">
        <v>7.4386444499999671</v>
      </c>
      <c r="H38" s="378">
        <v>7.4386444499999795</v>
      </c>
      <c r="I38" s="189">
        <f t="shared" si="1"/>
        <v>1.2434497875801753E-14</v>
      </c>
      <c r="J38" s="35"/>
    </row>
    <row r="39" spans="1:10" x14ac:dyDescent="0.25">
      <c r="A39" s="21" t="s">
        <v>698</v>
      </c>
      <c r="B39" s="189">
        <v>3.4499999999999998E-4</v>
      </c>
      <c r="C39" s="189">
        <v>3.4499999999999998E-4</v>
      </c>
      <c r="D39" s="378">
        <f t="shared" si="0"/>
        <v>0</v>
      </c>
      <c r="E39" s="25"/>
      <c r="F39" s="21" t="s">
        <v>489</v>
      </c>
      <c r="G39" s="189">
        <v>4.1370707699999869</v>
      </c>
      <c r="H39" s="378">
        <v>4.1370707699999993</v>
      </c>
      <c r="I39" s="189">
        <f t="shared" si="1"/>
        <v>1.2434497875801753E-14</v>
      </c>
      <c r="J39" s="35"/>
    </row>
    <row r="40" spans="1:10" x14ac:dyDescent="0.25">
      <c r="A40" s="21" t="s">
        <v>697</v>
      </c>
      <c r="B40" s="189">
        <v>1.1075310799999998</v>
      </c>
      <c r="C40" s="189">
        <v>1.10753108</v>
      </c>
      <c r="D40" s="378">
        <f t="shared" si="0"/>
        <v>0</v>
      </c>
      <c r="E40" s="25"/>
      <c r="F40" s="21" t="s">
        <v>696</v>
      </c>
      <c r="G40" s="189">
        <v>7.5879386299999885</v>
      </c>
      <c r="H40" s="378">
        <v>7.5879386299999982</v>
      </c>
      <c r="I40" s="189">
        <f t="shared" si="1"/>
        <v>9.7699626167013776E-15</v>
      </c>
      <c r="J40" s="35"/>
    </row>
    <row r="41" spans="1:10" x14ac:dyDescent="0.25">
      <c r="A41" s="21" t="s">
        <v>696</v>
      </c>
      <c r="B41" s="189">
        <v>3.1719999999999999E-3</v>
      </c>
      <c r="C41" s="189">
        <v>3.1719999999999999E-3</v>
      </c>
      <c r="D41" s="378">
        <f t="shared" si="0"/>
        <v>0</v>
      </c>
      <c r="E41" s="25"/>
      <c r="F41" s="21" t="s">
        <v>644</v>
      </c>
      <c r="G41" s="189">
        <v>0.71921108999999905</v>
      </c>
      <c r="H41" s="378">
        <v>0.71921109000000005</v>
      </c>
      <c r="I41" s="189">
        <f t="shared" si="1"/>
        <v>9.9920072216264089E-16</v>
      </c>
      <c r="J41" s="35"/>
    </row>
    <row r="42" spans="1:10" x14ac:dyDescent="0.25">
      <c r="A42" s="21" t="s">
        <v>725</v>
      </c>
      <c r="B42" s="189">
        <v>3.7165539999999997E-2</v>
      </c>
      <c r="C42" s="189">
        <v>3.7165539999999997E-2</v>
      </c>
      <c r="D42" s="378">
        <f t="shared" si="0"/>
        <v>0</v>
      </c>
      <c r="E42" s="25"/>
      <c r="F42" s="21" t="s">
        <v>724</v>
      </c>
      <c r="G42" s="189">
        <v>3.082552489999999</v>
      </c>
      <c r="H42" s="378">
        <v>3.0825524899999994</v>
      </c>
      <c r="I42" s="189">
        <f t="shared" si="1"/>
        <v>0</v>
      </c>
      <c r="J42" s="35"/>
    </row>
    <row r="43" spans="1:10" x14ac:dyDescent="0.25">
      <c r="A43" s="21" t="s">
        <v>695</v>
      </c>
      <c r="B43" s="189">
        <v>28.893752869999979</v>
      </c>
      <c r="C43" s="189">
        <v>28.893752869999968</v>
      </c>
      <c r="D43" s="378">
        <f t="shared" si="0"/>
        <v>0</v>
      </c>
      <c r="E43" s="25"/>
      <c r="F43" s="21" t="s">
        <v>722</v>
      </c>
      <c r="G43" s="189">
        <v>109.710627</v>
      </c>
      <c r="H43" s="378">
        <v>109.7106269999999</v>
      </c>
      <c r="I43" s="189">
        <f t="shared" si="1"/>
        <v>0</v>
      </c>
      <c r="J43" s="35"/>
    </row>
    <row r="44" spans="1:10" x14ac:dyDescent="0.25">
      <c r="A44" s="21" t="s">
        <v>694</v>
      </c>
      <c r="B44" s="189">
        <v>38.071199899999897</v>
      </c>
      <c r="C44" s="189">
        <v>38.071199899999897</v>
      </c>
      <c r="D44" s="378">
        <f t="shared" si="0"/>
        <v>0</v>
      </c>
      <c r="E44" s="25"/>
      <c r="F44" s="21" t="s">
        <v>721</v>
      </c>
      <c r="G44" s="189">
        <v>0.50452579999999991</v>
      </c>
      <c r="H44" s="378">
        <v>0.50452579999999991</v>
      </c>
      <c r="I44" s="189">
        <f t="shared" si="1"/>
        <v>0</v>
      </c>
      <c r="J44" s="35"/>
    </row>
    <row r="45" spans="1:10" x14ac:dyDescent="0.25">
      <c r="A45" s="21" t="s">
        <v>506</v>
      </c>
      <c r="B45" s="189">
        <v>0.65297132999999907</v>
      </c>
      <c r="C45" s="189">
        <v>0.65297132999999907</v>
      </c>
      <c r="D45" s="378">
        <f t="shared" si="0"/>
        <v>0</v>
      </c>
      <c r="E45" s="25"/>
      <c r="F45" s="21" t="s">
        <v>720</v>
      </c>
      <c r="G45" s="189">
        <v>17.803504649999986</v>
      </c>
      <c r="H45" s="378">
        <v>17.803504649999986</v>
      </c>
      <c r="I45" s="189">
        <f t="shared" si="1"/>
        <v>0</v>
      </c>
      <c r="J45" s="35"/>
    </row>
    <row r="46" spans="1:10" x14ac:dyDescent="0.25">
      <c r="A46" s="21" t="s">
        <v>693</v>
      </c>
      <c r="B46" s="189">
        <v>123.23210663</v>
      </c>
      <c r="C46" s="189">
        <v>123.23210663000003</v>
      </c>
      <c r="D46" s="378">
        <f t="shared" si="0"/>
        <v>0</v>
      </c>
      <c r="E46" s="25"/>
      <c r="F46" s="21" t="s">
        <v>718</v>
      </c>
      <c r="G46" s="189">
        <v>8.3293843299999804</v>
      </c>
      <c r="H46" s="378">
        <v>8.3293843299999892</v>
      </c>
      <c r="I46" s="189">
        <f t="shared" si="1"/>
        <v>0</v>
      </c>
      <c r="J46" s="35"/>
    </row>
    <row r="47" spans="1:10" x14ac:dyDescent="0.25">
      <c r="A47" s="21" t="s">
        <v>692</v>
      </c>
      <c r="B47" s="189">
        <v>1.008E-3</v>
      </c>
      <c r="C47" s="189">
        <v>1.008E-3</v>
      </c>
      <c r="D47" s="378">
        <f t="shared" si="0"/>
        <v>0</v>
      </c>
      <c r="E47" s="25"/>
      <c r="F47" s="21" t="s">
        <v>717</v>
      </c>
      <c r="G47" s="189">
        <v>31.577897679999971</v>
      </c>
      <c r="H47" s="378">
        <v>31.577897679999992</v>
      </c>
      <c r="I47" s="189">
        <f t="shared" si="1"/>
        <v>0</v>
      </c>
      <c r="J47" s="35"/>
    </row>
    <row r="48" spans="1:10" x14ac:dyDescent="0.25">
      <c r="A48" s="21" t="s">
        <v>690</v>
      </c>
      <c r="B48" s="189">
        <v>0.4654071999999998</v>
      </c>
      <c r="C48" s="189">
        <v>0.4654071999999998</v>
      </c>
      <c r="D48" s="378">
        <f t="shared" si="0"/>
        <v>0</v>
      </c>
      <c r="E48" s="25"/>
      <c r="F48" s="21" t="s">
        <v>716</v>
      </c>
      <c r="G48" s="189">
        <v>3.2977910000000006E-2</v>
      </c>
      <c r="H48" s="378">
        <v>3.2977910000000006E-2</v>
      </c>
      <c r="I48" s="189">
        <f t="shared" si="1"/>
        <v>0</v>
      </c>
      <c r="J48" s="35"/>
    </row>
    <row r="49" spans="1:10" x14ac:dyDescent="0.25">
      <c r="A49" s="21" t="s">
        <v>689</v>
      </c>
      <c r="B49" s="189">
        <v>2.2452234999999989</v>
      </c>
      <c r="C49" s="189">
        <v>2.2452234999999985</v>
      </c>
      <c r="D49" s="378">
        <f t="shared" si="0"/>
        <v>0</v>
      </c>
      <c r="E49" s="25"/>
      <c r="F49" s="21" t="s">
        <v>714</v>
      </c>
      <c r="G49" s="189">
        <v>0.6044772199999997</v>
      </c>
      <c r="H49" s="378">
        <v>0.6044772199999997</v>
      </c>
      <c r="I49" s="189">
        <f t="shared" si="1"/>
        <v>0</v>
      </c>
      <c r="J49" s="35"/>
    </row>
    <row r="50" spans="1:10" x14ac:dyDescent="0.25">
      <c r="A50" s="21" t="s">
        <v>947</v>
      </c>
      <c r="B50" s="189">
        <v>0.32730300000000001</v>
      </c>
      <c r="C50" s="189">
        <v>0.32730300000000001</v>
      </c>
      <c r="D50" s="378">
        <f t="shared" si="0"/>
        <v>0</v>
      </c>
      <c r="E50" s="25"/>
      <c r="F50" s="21" t="s">
        <v>713</v>
      </c>
      <c r="G50" s="189">
        <v>12.111924619999998</v>
      </c>
      <c r="H50" s="378">
        <v>12.11192462</v>
      </c>
      <c r="I50" s="189">
        <f t="shared" si="1"/>
        <v>0</v>
      </c>
      <c r="J50" s="35"/>
    </row>
    <row r="51" spans="1:10" x14ac:dyDescent="0.25">
      <c r="A51" s="21" t="s">
        <v>685</v>
      </c>
      <c r="B51" s="189">
        <v>1.4139999999999999E-3</v>
      </c>
      <c r="C51" s="189">
        <v>1.4139999999999999E-3</v>
      </c>
      <c r="D51" s="378">
        <f t="shared" si="0"/>
        <v>0</v>
      </c>
      <c r="E51" s="25"/>
      <c r="F51" s="21" t="s">
        <v>712</v>
      </c>
      <c r="G51" s="189">
        <v>43.113671149999995</v>
      </c>
      <c r="H51" s="378">
        <v>43.113671149999995</v>
      </c>
      <c r="I51" s="189">
        <f t="shared" si="1"/>
        <v>0</v>
      </c>
      <c r="J51" s="35"/>
    </row>
    <row r="52" spans="1:10" x14ac:dyDescent="0.25">
      <c r="A52" s="21" t="s">
        <v>683</v>
      </c>
      <c r="B52" s="189">
        <v>183.81964468999965</v>
      </c>
      <c r="C52" s="189">
        <v>183.81964468999976</v>
      </c>
      <c r="D52" s="378">
        <f t="shared" si="0"/>
        <v>0</v>
      </c>
      <c r="E52" s="25"/>
      <c r="F52" s="21" t="s">
        <v>711</v>
      </c>
      <c r="G52" s="189">
        <v>92.068750399999999</v>
      </c>
      <c r="H52" s="378">
        <v>92.068750399999999</v>
      </c>
      <c r="I52" s="189">
        <f t="shared" si="1"/>
        <v>0</v>
      </c>
      <c r="J52" s="35"/>
    </row>
    <row r="53" spans="1:10" x14ac:dyDescent="0.25">
      <c r="A53" s="21" t="s">
        <v>682</v>
      </c>
      <c r="B53" s="189">
        <v>0.214991669999999</v>
      </c>
      <c r="C53" s="189">
        <v>0.214991669999999</v>
      </c>
      <c r="D53" s="378">
        <f t="shared" si="0"/>
        <v>0</v>
      </c>
      <c r="E53" s="25"/>
      <c r="F53" s="21" t="s">
        <v>710</v>
      </c>
      <c r="G53" s="189">
        <v>72.441916999999961</v>
      </c>
      <c r="H53" s="378">
        <v>72.441916999999961</v>
      </c>
      <c r="I53" s="189">
        <f t="shared" si="1"/>
        <v>0</v>
      </c>
      <c r="J53" s="35"/>
    </row>
    <row r="54" spans="1:10" x14ac:dyDescent="0.25">
      <c r="A54" s="21" t="s">
        <v>492</v>
      </c>
      <c r="B54" s="189">
        <v>15.557981419999999</v>
      </c>
      <c r="C54" s="189">
        <v>15.557981420000001</v>
      </c>
      <c r="D54" s="378">
        <f t="shared" si="0"/>
        <v>0</v>
      </c>
      <c r="E54" s="25"/>
      <c r="F54" s="21" t="s">
        <v>708</v>
      </c>
      <c r="G54" s="189">
        <v>1.34493128</v>
      </c>
      <c r="H54" s="378">
        <v>1.34493128</v>
      </c>
      <c r="I54" s="189">
        <f t="shared" si="1"/>
        <v>0</v>
      </c>
      <c r="J54" s="35"/>
    </row>
    <row r="55" spans="1:10" x14ac:dyDescent="0.25">
      <c r="A55" s="21" t="s">
        <v>681</v>
      </c>
      <c r="B55" s="189">
        <v>1.0117580499999999</v>
      </c>
      <c r="C55" s="189">
        <v>1.0117580499999999</v>
      </c>
      <c r="D55" s="378">
        <f t="shared" si="0"/>
        <v>0</v>
      </c>
      <c r="E55" s="25"/>
      <c r="F55" s="21" t="s">
        <v>707</v>
      </c>
      <c r="G55" s="189">
        <v>0.26506775999999987</v>
      </c>
      <c r="H55" s="378">
        <v>0.26506775999999987</v>
      </c>
      <c r="I55" s="515">
        <f t="shared" si="1"/>
        <v>0</v>
      </c>
      <c r="J55" s="35"/>
    </row>
    <row r="56" spans="1:10" x14ac:dyDescent="0.25">
      <c r="A56" s="21" t="s">
        <v>680</v>
      </c>
      <c r="B56" s="189">
        <v>2.6058438500000003</v>
      </c>
      <c r="C56" s="189">
        <v>2.6058438500000003</v>
      </c>
      <c r="D56" s="378">
        <f t="shared" si="0"/>
        <v>0</v>
      </c>
      <c r="E56" s="25"/>
      <c r="F56" s="21" t="s">
        <v>706</v>
      </c>
      <c r="G56" s="189">
        <v>1.5217086299999985</v>
      </c>
      <c r="H56" s="378">
        <v>1.5217086299999993</v>
      </c>
      <c r="I56" s="515">
        <f t="shared" si="1"/>
        <v>0</v>
      </c>
      <c r="J56" s="35"/>
    </row>
    <row r="57" spans="1:10" x14ac:dyDescent="0.25">
      <c r="A57" s="21" t="s">
        <v>675</v>
      </c>
      <c r="B57" s="189">
        <v>5.0000000000000002E-5</v>
      </c>
      <c r="C57" s="189">
        <v>5.0000000000000002E-5</v>
      </c>
      <c r="D57" s="378">
        <f t="shared" si="0"/>
        <v>0</v>
      </c>
      <c r="E57" s="25"/>
      <c r="F57" s="21" t="s">
        <v>705</v>
      </c>
      <c r="G57" s="189">
        <v>152.81037208999965</v>
      </c>
      <c r="H57" s="378">
        <v>152.81037208999965</v>
      </c>
      <c r="I57" s="516">
        <f t="shared" si="1"/>
        <v>0</v>
      </c>
      <c r="J57" s="35"/>
    </row>
    <row r="58" spans="1:10" x14ac:dyDescent="0.25">
      <c r="A58" s="21" t="s">
        <v>674</v>
      </c>
      <c r="B58" s="189">
        <v>2.6593969999999998E-2</v>
      </c>
      <c r="C58" s="189">
        <v>2.6593969999999998E-2</v>
      </c>
      <c r="D58" s="378">
        <f t="shared" si="0"/>
        <v>0</v>
      </c>
      <c r="E58" s="25"/>
      <c r="F58" s="21" t="s">
        <v>726</v>
      </c>
      <c r="G58" s="189">
        <v>50.014850199999948</v>
      </c>
      <c r="H58" s="378">
        <v>50.014850199999955</v>
      </c>
      <c r="I58" s="516">
        <f t="shared" si="1"/>
        <v>0</v>
      </c>
      <c r="J58" s="35"/>
    </row>
    <row r="59" spans="1:10" x14ac:dyDescent="0.25">
      <c r="A59" s="21" t="s">
        <v>673</v>
      </c>
      <c r="B59" s="189">
        <v>0.56432970000000005</v>
      </c>
      <c r="C59" s="189">
        <v>0.56432970000000005</v>
      </c>
      <c r="D59" s="378">
        <f t="shared" si="0"/>
        <v>0</v>
      </c>
      <c r="E59" s="25"/>
      <c r="F59" s="21" t="s">
        <v>703</v>
      </c>
      <c r="G59" s="189">
        <v>22.328964419999952</v>
      </c>
      <c r="H59" s="378">
        <v>22.328964419999963</v>
      </c>
      <c r="I59" s="189">
        <f t="shared" si="1"/>
        <v>0</v>
      </c>
      <c r="J59" s="35"/>
    </row>
    <row r="60" spans="1:10" x14ac:dyDescent="0.25">
      <c r="A60" s="21" t="s">
        <v>671</v>
      </c>
      <c r="B60" s="189">
        <v>6.4578199999999995E-3</v>
      </c>
      <c r="C60" s="189">
        <v>6.4578199999999995E-3</v>
      </c>
      <c r="D60" s="378">
        <f t="shared" si="0"/>
        <v>0</v>
      </c>
      <c r="E60" s="25"/>
      <c r="F60" s="21" t="s">
        <v>700</v>
      </c>
      <c r="G60" s="189">
        <v>49.767401289999981</v>
      </c>
      <c r="H60" s="378">
        <v>49.767401289999981</v>
      </c>
      <c r="I60" s="189">
        <f t="shared" si="1"/>
        <v>0</v>
      </c>
      <c r="J60" s="35"/>
    </row>
    <row r="61" spans="1:10" x14ac:dyDescent="0.25">
      <c r="A61" s="21" t="s">
        <v>670</v>
      </c>
      <c r="B61" s="189">
        <v>103.21803270999987</v>
      </c>
      <c r="C61" s="189">
        <v>103.21803270999983</v>
      </c>
      <c r="D61" s="378">
        <f t="shared" si="0"/>
        <v>0</v>
      </c>
      <c r="E61" s="25"/>
      <c r="F61" s="21" t="s">
        <v>699</v>
      </c>
      <c r="G61" s="189">
        <v>22.413616259999987</v>
      </c>
      <c r="H61" s="378">
        <v>22.413616259999998</v>
      </c>
      <c r="I61" s="189">
        <f t="shared" si="1"/>
        <v>0</v>
      </c>
      <c r="J61" s="35"/>
    </row>
    <row r="62" spans="1:10" x14ac:dyDescent="0.25">
      <c r="A62" s="21" t="s">
        <v>669</v>
      </c>
      <c r="B62" s="189">
        <v>4.5504000000000003E-2</v>
      </c>
      <c r="C62" s="189">
        <v>4.5504000000000003E-2</v>
      </c>
      <c r="D62" s="378">
        <f t="shared" si="0"/>
        <v>0</v>
      </c>
      <c r="E62" s="25"/>
      <c r="F62" s="21" t="s">
        <v>698</v>
      </c>
      <c r="G62" s="189">
        <v>0.41480644999999888</v>
      </c>
      <c r="H62" s="378">
        <v>0.41480644999999888</v>
      </c>
      <c r="I62" s="189">
        <f t="shared" si="1"/>
        <v>0</v>
      </c>
      <c r="J62" s="35"/>
    </row>
    <row r="63" spans="1:10" x14ac:dyDescent="0.25">
      <c r="A63" s="21" t="s">
        <v>668</v>
      </c>
      <c r="B63" s="189">
        <v>33.705308790000004</v>
      </c>
      <c r="C63" s="189">
        <v>33.705308789999997</v>
      </c>
      <c r="D63" s="378">
        <f t="shared" si="0"/>
        <v>0</v>
      </c>
      <c r="E63" s="25"/>
      <c r="F63" s="21" t="s">
        <v>697</v>
      </c>
      <c r="G63" s="189">
        <v>38.439002659999879</v>
      </c>
      <c r="H63" s="378">
        <v>38.439002659999886</v>
      </c>
      <c r="I63" s="189">
        <f t="shared" si="1"/>
        <v>0</v>
      </c>
      <c r="J63" s="35"/>
    </row>
    <row r="64" spans="1:10" x14ac:dyDescent="0.25">
      <c r="A64" s="21" t="s">
        <v>666</v>
      </c>
      <c r="B64" s="189">
        <v>903.29715871999997</v>
      </c>
      <c r="C64" s="189">
        <v>903.29715871999997</v>
      </c>
      <c r="D64" s="378">
        <f t="shared" si="0"/>
        <v>0</v>
      </c>
      <c r="E64" s="25"/>
      <c r="F64" s="21" t="s">
        <v>725</v>
      </c>
      <c r="G64" s="189">
        <v>29.785245349999897</v>
      </c>
      <c r="H64" s="378">
        <v>29.785245349999887</v>
      </c>
      <c r="I64" s="189">
        <f t="shared" si="1"/>
        <v>0</v>
      </c>
      <c r="J64" s="35"/>
    </row>
    <row r="65" spans="1:10" x14ac:dyDescent="0.25">
      <c r="A65" s="21" t="s">
        <v>665</v>
      </c>
      <c r="B65" s="189">
        <v>424.36791169000003</v>
      </c>
      <c r="C65" s="189">
        <v>424.36791169000003</v>
      </c>
      <c r="D65" s="378">
        <f t="shared" si="0"/>
        <v>0</v>
      </c>
      <c r="E65" s="25"/>
      <c r="F65" s="21" t="s">
        <v>531</v>
      </c>
      <c r="G65" s="189">
        <v>20.473618620000003</v>
      </c>
      <c r="H65" s="378">
        <v>20.473618620000003</v>
      </c>
      <c r="I65" s="189">
        <f t="shared" si="1"/>
        <v>0</v>
      </c>
      <c r="J65" s="35"/>
    </row>
    <row r="66" spans="1:10" x14ac:dyDescent="0.25">
      <c r="A66" s="21" t="s">
        <v>664</v>
      </c>
      <c r="B66" s="189">
        <v>5.9992600000000002E-3</v>
      </c>
      <c r="C66" s="189">
        <v>5.9992600000000002E-3</v>
      </c>
      <c r="D66" s="378">
        <f t="shared" si="0"/>
        <v>0</v>
      </c>
      <c r="E66" s="25"/>
      <c r="F66" s="21" t="s">
        <v>694</v>
      </c>
      <c r="G66" s="189">
        <v>140.12397656999983</v>
      </c>
      <c r="H66" s="378">
        <v>140.12397656999968</v>
      </c>
      <c r="I66" s="189">
        <f t="shared" si="1"/>
        <v>0</v>
      </c>
      <c r="J66" s="35"/>
    </row>
    <row r="67" spans="1:10" x14ac:dyDescent="0.25">
      <c r="A67" s="21" t="s">
        <v>691</v>
      </c>
      <c r="B67" s="189">
        <v>4376.8428605299905</v>
      </c>
      <c r="C67" s="189">
        <v>4376.8428605299905</v>
      </c>
      <c r="D67" s="378">
        <f t="shared" si="0"/>
        <v>0</v>
      </c>
      <c r="E67" s="25"/>
      <c r="F67" s="21" t="s">
        <v>506</v>
      </c>
      <c r="G67" s="189">
        <v>120.41652443000002</v>
      </c>
      <c r="H67" s="378">
        <v>120.41652442999992</v>
      </c>
      <c r="I67" s="189">
        <f t="shared" si="1"/>
        <v>0</v>
      </c>
      <c r="J67" s="35"/>
    </row>
    <row r="68" spans="1:10" x14ac:dyDescent="0.25">
      <c r="A68" s="21" t="s">
        <v>526</v>
      </c>
      <c r="B68" s="189">
        <v>123.8815666</v>
      </c>
      <c r="C68" s="189">
        <v>123.8815665999999</v>
      </c>
      <c r="D68" s="378">
        <f t="shared" si="0"/>
        <v>0</v>
      </c>
      <c r="E68" s="25"/>
      <c r="F68" s="21" t="s">
        <v>693</v>
      </c>
      <c r="G68" s="189">
        <v>501.81128607999852</v>
      </c>
      <c r="H68" s="378">
        <v>501.81128607999841</v>
      </c>
      <c r="I68" s="189">
        <f t="shared" si="1"/>
        <v>0</v>
      </c>
      <c r="J68" s="35"/>
    </row>
    <row r="69" spans="1:10" x14ac:dyDescent="0.25">
      <c r="A69" s="21" t="s">
        <v>663</v>
      </c>
      <c r="B69" s="189">
        <v>39.662958139999979</v>
      </c>
      <c r="C69" s="189">
        <v>39.662958139999972</v>
      </c>
      <c r="D69" s="378">
        <f t="shared" si="0"/>
        <v>0</v>
      </c>
      <c r="E69" s="25"/>
      <c r="F69" s="21" t="s">
        <v>692</v>
      </c>
      <c r="G69" s="189">
        <v>5.4706099999999895E-3</v>
      </c>
      <c r="H69" s="378">
        <v>5.4706099999999895E-3</v>
      </c>
      <c r="I69" s="189">
        <f t="shared" si="1"/>
        <v>0</v>
      </c>
      <c r="J69" s="35"/>
    </row>
    <row r="70" spans="1:10" x14ac:dyDescent="0.25">
      <c r="A70" s="21" t="s">
        <v>661</v>
      </c>
      <c r="B70" s="189">
        <v>1.8504751399999995</v>
      </c>
      <c r="C70" s="189">
        <v>1.8504751399999988</v>
      </c>
      <c r="D70" s="378">
        <f t="shared" si="0"/>
        <v>0</v>
      </c>
      <c r="E70" s="25"/>
      <c r="F70" s="21" t="s">
        <v>690</v>
      </c>
      <c r="G70" s="189">
        <v>49.643215199999872</v>
      </c>
      <c r="H70" s="378">
        <v>49.643215199999851</v>
      </c>
      <c r="I70" s="189">
        <f t="shared" si="1"/>
        <v>0</v>
      </c>
      <c r="J70" s="35"/>
    </row>
    <row r="71" spans="1:10" x14ac:dyDescent="0.25">
      <c r="A71" s="21" t="s">
        <v>660</v>
      </c>
      <c r="B71" s="189">
        <v>7.4970987099999888</v>
      </c>
      <c r="C71" s="189">
        <v>7.4970987099999888</v>
      </c>
      <c r="D71" s="378">
        <f t="shared" si="0"/>
        <v>0</v>
      </c>
      <c r="E71" s="25"/>
      <c r="F71" s="21" t="s">
        <v>689</v>
      </c>
      <c r="G71" s="189">
        <v>7.7449999999999999E-5</v>
      </c>
      <c r="H71" s="378">
        <v>7.7449999999999999E-5</v>
      </c>
      <c r="I71" s="189">
        <f t="shared" si="1"/>
        <v>0</v>
      </c>
      <c r="J71" s="35"/>
    </row>
    <row r="72" spans="1:10" x14ac:dyDescent="0.25">
      <c r="A72" s="21" t="s">
        <v>659</v>
      </c>
      <c r="B72" s="189">
        <v>1.56E-4</v>
      </c>
      <c r="C72" s="189">
        <v>1.56E-4</v>
      </c>
      <c r="D72" s="378">
        <f t="shared" si="0"/>
        <v>0</v>
      </c>
      <c r="E72" s="25"/>
      <c r="F72" s="21" t="s">
        <v>688</v>
      </c>
      <c r="G72" s="189">
        <v>0.48879470999999797</v>
      </c>
      <c r="H72" s="378">
        <v>0.48879470999999808</v>
      </c>
      <c r="I72" s="189">
        <f t="shared" si="1"/>
        <v>0</v>
      </c>
      <c r="J72" s="35"/>
    </row>
    <row r="73" spans="1:10" x14ac:dyDescent="0.25">
      <c r="A73" s="21" t="s">
        <v>657</v>
      </c>
      <c r="B73" s="189">
        <v>1.3198734199999991</v>
      </c>
      <c r="C73" s="189">
        <v>1.3198734199999991</v>
      </c>
      <c r="D73" s="378">
        <f t="shared" si="0"/>
        <v>0</v>
      </c>
      <c r="E73" s="25"/>
      <c r="F73" s="21" t="s">
        <v>686</v>
      </c>
      <c r="G73" s="189">
        <v>1.0523613500000002</v>
      </c>
      <c r="H73" s="378">
        <v>1.0523613500000002</v>
      </c>
      <c r="I73" s="189">
        <f t="shared" si="1"/>
        <v>0</v>
      </c>
      <c r="J73" s="35"/>
    </row>
    <row r="74" spans="1:10" x14ac:dyDescent="0.25">
      <c r="A74" s="21" t="s">
        <v>648</v>
      </c>
      <c r="B74" s="189">
        <v>1.06807345</v>
      </c>
      <c r="C74" s="189">
        <v>1.06807345</v>
      </c>
      <c r="D74" s="378">
        <f t="shared" si="0"/>
        <v>0</v>
      </c>
      <c r="E74" s="25"/>
      <c r="F74" s="21" t="s">
        <v>685</v>
      </c>
      <c r="G74" s="189">
        <v>2.3390880399999996</v>
      </c>
      <c r="H74" s="378">
        <v>2.3390880399999996</v>
      </c>
      <c r="I74" s="189">
        <f t="shared" si="1"/>
        <v>0</v>
      </c>
      <c r="J74" s="35"/>
    </row>
    <row r="75" spans="1:10" x14ac:dyDescent="0.25">
      <c r="A75" s="21" t="s">
        <v>647</v>
      </c>
      <c r="B75" s="189">
        <v>4.1217389999999896E-2</v>
      </c>
      <c r="C75" s="189">
        <v>4.1217389999999896E-2</v>
      </c>
      <c r="D75" s="378">
        <f t="shared" ref="D75:D138" si="2">C75-B75</f>
        <v>0</v>
      </c>
      <c r="E75" s="25"/>
      <c r="F75" s="21" t="s">
        <v>684</v>
      </c>
      <c r="G75" s="189">
        <v>1.3517080000000001E-2</v>
      </c>
      <c r="H75" s="378">
        <v>1.3517080000000001E-2</v>
      </c>
      <c r="I75" s="189">
        <f t="shared" ref="I75:I138" si="3">H75-G75</f>
        <v>0</v>
      </c>
      <c r="J75" s="35"/>
    </row>
    <row r="76" spans="1:10" x14ac:dyDescent="0.25">
      <c r="A76" s="21" t="s">
        <v>646</v>
      </c>
      <c r="B76" s="189">
        <v>2.4429097099999999</v>
      </c>
      <c r="C76" s="189">
        <v>2.4429097099999999</v>
      </c>
      <c r="D76" s="378">
        <f t="shared" si="2"/>
        <v>0</v>
      </c>
      <c r="E76" s="25"/>
      <c r="F76" s="21" t="s">
        <v>683</v>
      </c>
      <c r="G76" s="189">
        <v>2.1359850200000001</v>
      </c>
      <c r="H76" s="378">
        <v>2.1359850200000001</v>
      </c>
      <c r="I76" s="189">
        <f t="shared" si="3"/>
        <v>0</v>
      </c>
      <c r="J76" s="35"/>
    </row>
    <row r="77" spans="1:10" x14ac:dyDescent="0.25">
      <c r="A77" s="21" t="s">
        <v>643</v>
      </c>
      <c r="B77" s="189">
        <v>9.2037199999999812E-3</v>
      </c>
      <c r="C77" s="189">
        <v>9.2037199999999812E-3</v>
      </c>
      <c r="D77" s="378">
        <f t="shared" si="2"/>
        <v>0</v>
      </c>
      <c r="E77" s="25"/>
      <c r="F77" s="21" t="s">
        <v>682</v>
      </c>
      <c r="G77" s="189">
        <v>0.69278499999999998</v>
      </c>
      <c r="H77" s="378">
        <v>0.6927850000000001</v>
      </c>
      <c r="I77" s="189">
        <f t="shared" si="3"/>
        <v>0</v>
      </c>
      <c r="J77" s="35"/>
    </row>
    <row r="78" spans="1:10" x14ac:dyDescent="0.25">
      <c r="A78" s="21" t="s">
        <v>642</v>
      </c>
      <c r="B78" s="189">
        <v>7.7280210000000002E-2</v>
      </c>
      <c r="C78" s="189">
        <v>7.7280210000000002E-2</v>
      </c>
      <c r="D78" s="378">
        <f t="shared" si="2"/>
        <v>0</v>
      </c>
      <c r="E78" s="25"/>
      <c r="F78" s="21" t="s">
        <v>492</v>
      </c>
      <c r="G78" s="189">
        <v>28.706511679999892</v>
      </c>
      <c r="H78" s="378">
        <v>28.706511679999902</v>
      </c>
      <c r="I78" s="189">
        <f t="shared" si="3"/>
        <v>0</v>
      </c>
      <c r="J78" s="35"/>
    </row>
    <row r="79" spans="1:10" x14ac:dyDescent="0.25">
      <c r="A79" s="21" t="s">
        <v>640</v>
      </c>
      <c r="B79" s="189">
        <v>7.0409299999999991E-3</v>
      </c>
      <c r="C79" s="189">
        <v>7.0409299999999991E-3</v>
      </c>
      <c r="D79" s="378">
        <f t="shared" si="2"/>
        <v>0</v>
      </c>
      <c r="E79" s="25"/>
      <c r="F79" s="21" t="s">
        <v>681</v>
      </c>
      <c r="G79" s="189">
        <v>31.171879590000003</v>
      </c>
      <c r="H79" s="378">
        <v>31.17187959</v>
      </c>
      <c r="I79" s="189">
        <f t="shared" si="3"/>
        <v>0</v>
      </c>
      <c r="J79" s="35"/>
    </row>
    <row r="80" spans="1:10" x14ac:dyDescent="0.25">
      <c r="A80" s="21" t="s">
        <v>639</v>
      </c>
      <c r="B80" s="189">
        <v>5.9565080699999999</v>
      </c>
      <c r="C80" s="189">
        <v>5.9565080699999999</v>
      </c>
      <c r="D80" s="378">
        <f t="shared" si="2"/>
        <v>0</v>
      </c>
      <c r="E80" s="25"/>
      <c r="F80" s="21" t="s">
        <v>679</v>
      </c>
      <c r="G80" s="189">
        <v>5.3455029999999792E-2</v>
      </c>
      <c r="H80" s="378">
        <v>5.3455029999999792E-2</v>
      </c>
      <c r="I80" s="189">
        <f t="shared" si="3"/>
        <v>0</v>
      </c>
      <c r="J80" s="35"/>
    </row>
    <row r="81" spans="1:10" x14ac:dyDescent="0.25">
      <c r="A81" s="21" t="s">
        <v>638</v>
      </c>
      <c r="B81" s="189">
        <v>1.35483999999999E-3</v>
      </c>
      <c r="C81" s="189">
        <v>1.35483999999999E-3</v>
      </c>
      <c r="D81" s="378">
        <f t="shared" si="2"/>
        <v>0</v>
      </c>
      <c r="E81" s="25"/>
      <c r="F81" s="21" t="s">
        <v>893</v>
      </c>
      <c r="G81" s="189">
        <v>6.5894600000000001E-3</v>
      </c>
      <c r="H81" s="378">
        <v>6.5894600000000001E-3</v>
      </c>
      <c r="I81" s="189">
        <f t="shared" si="3"/>
        <v>0</v>
      </c>
      <c r="J81" s="35"/>
    </row>
    <row r="82" spans="1:10" x14ac:dyDescent="0.25">
      <c r="A82" s="21" t="s">
        <v>637</v>
      </c>
      <c r="B82" s="189">
        <v>1.067E-3</v>
      </c>
      <c r="C82" s="189">
        <v>1.067E-3</v>
      </c>
      <c r="D82" s="378">
        <f t="shared" si="2"/>
        <v>0</v>
      </c>
      <c r="E82" s="25"/>
      <c r="F82" s="21" t="s">
        <v>678</v>
      </c>
      <c r="G82" s="189">
        <v>0.15176718999999977</v>
      </c>
      <c r="H82" s="378">
        <v>0.15176718999999969</v>
      </c>
      <c r="I82" s="189">
        <f t="shared" si="3"/>
        <v>0</v>
      </c>
      <c r="J82" s="35"/>
    </row>
    <row r="83" spans="1:10" x14ac:dyDescent="0.25">
      <c r="A83" s="21" t="s">
        <v>667</v>
      </c>
      <c r="B83" s="189">
        <v>2.7603364099999901</v>
      </c>
      <c r="C83" s="189">
        <v>2.7603364099999901</v>
      </c>
      <c r="D83" s="378">
        <f t="shared" si="2"/>
        <v>0</v>
      </c>
      <c r="E83" s="25"/>
      <c r="F83" s="21" t="s">
        <v>677</v>
      </c>
      <c r="G83" s="189">
        <v>1.3107200999999997</v>
      </c>
      <c r="H83" s="378">
        <v>1.3107200999999997</v>
      </c>
      <c r="I83" s="189">
        <f t="shared" si="3"/>
        <v>0</v>
      </c>
      <c r="J83" s="35"/>
    </row>
    <row r="84" spans="1:10" x14ac:dyDescent="0.25">
      <c r="A84" s="21" t="s">
        <v>636</v>
      </c>
      <c r="B84" s="189">
        <v>0.20546728999999989</v>
      </c>
      <c r="C84" s="189">
        <v>0.20546728999999991</v>
      </c>
      <c r="D84" s="378">
        <f t="shared" si="2"/>
        <v>0</v>
      </c>
      <c r="E84" s="25"/>
      <c r="F84" s="21" t="s">
        <v>675</v>
      </c>
      <c r="G84" s="189">
        <v>0.13772660999999903</v>
      </c>
      <c r="H84" s="378">
        <v>0.13772660999999903</v>
      </c>
      <c r="I84" s="189">
        <f t="shared" si="3"/>
        <v>0</v>
      </c>
      <c r="J84" s="35"/>
    </row>
    <row r="85" spans="1:10" x14ac:dyDescent="0.25">
      <c r="A85" s="21" t="s">
        <v>635</v>
      </c>
      <c r="B85" s="189">
        <v>1.4182352599999997</v>
      </c>
      <c r="C85" s="189">
        <v>1.4182352599999997</v>
      </c>
      <c r="D85" s="378">
        <f t="shared" si="2"/>
        <v>0</v>
      </c>
      <c r="E85" s="25"/>
      <c r="F85" s="21" t="s">
        <v>674</v>
      </c>
      <c r="G85" s="189">
        <v>1.3206963599999979</v>
      </c>
      <c r="H85" s="378">
        <v>1.3206963599999966</v>
      </c>
      <c r="I85" s="189">
        <f t="shared" si="3"/>
        <v>0</v>
      </c>
      <c r="J85" s="35"/>
    </row>
    <row r="86" spans="1:10" x14ac:dyDescent="0.25">
      <c r="A86" s="21" t="s">
        <v>634</v>
      </c>
      <c r="B86" s="189">
        <v>1.0499999999999999E-3</v>
      </c>
      <c r="C86" s="189">
        <v>1.0499999999999999E-3</v>
      </c>
      <c r="D86" s="378">
        <f t="shared" si="2"/>
        <v>0</v>
      </c>
      <c r="E86" s="25"/>
      <c r="F86" s="21" t="s">
        <v>673</v>
      </c>
      <c r="G86" s="189">
        <v>0.50509062000000005</v>
      </c>
      <c r="H86" s="378">
        <v>0.50509062000000005</v>
      </c>
      <c r="I86" s="189">
        <f t="shared" si="3"/>
        <v>0</v>
      </c>
      <c r="J86" s="35"/>
    </row>
    <row r="87" spans="1:10" x14ac:dyDescent="0.25">
      <c r="A87" s="21" t="s">
        <v>630</v>
      </c>
      <c r="B87" s="189">
        <v>1.3762645599999979</v>
      </c>
      <c r="C87" s="189">
        <v>1.3762645599999981</v>
      </c>
      <c r="D87" s="378">
        <f t="shared" si="2"/>
        <v>0</v>
      </c>
      <c r="E87" s="25"/>
      <c r="F87" s="21" t="s">
        <v>672</v>
      </c>
      <c r="G87" s="189">
        <v>3.5372814599999947</v>
      </c>
      <c r="H87" s="378">
        <v>3.5372814599999951</v>
      </c>
      <c r="I87" s="189">
        <f t="shared" si="3"/>
        <v>0</v>
      </c>
      <c r="J87" s="35"/>
    </row>
    <row r="88" spans="1:10" x14ac:dyDescent="0.25">
      <c r="A88" s="21" t="s">
        <v>658</v>
      </c>
      <c r="B88" s="189">
        <v>5.3508537799999889</v>
      </c>
      <c r="C88" s="189">
        <v>5.350853779999988</v>
      </c>
      <c r="D88" s="378">
        <f t="shared" si="2"/>
        <v>0</v>
      </c>
      <c r="E88" s="25"/>
      <c r="F88" s="21" t="s">
        <v>478</v>
      </c>
      <c r="G88" s="189">
        <v>52.04160203</v>
      </c>
      <c r="H88" s="378">
        <v>52.04160203</v>
      </c>
      <c r="I88" s="189">
        <f t="shared" si="3"/>
        <v>0</v>
      </c>
      <c r="J88" s="35"/>
    </row>
    <row r="89" spans="1:10" x14ac:dyDescent="0.25">
      <c r="A89" s="21" t="s">
        <v>519</v>
      </c>
      <c r="B89" s="189">
        <v>1.9196990000000001E-2</v>
      </c>
      <c r="C89" s="189">
        <v>1.9196990000000001E-2</v>
      </c>
      <c r="D89" s="378">
        <f t="shared" si="2"/>
        <v>0</v>
      </c>
      <c r="E89" s="25"/>
      <c r="F89" s="21" t="s">
        <v>671</v>
      </c>
      <c r="G89" s="189">
        <v>0.39145957999999992</v>
      </c>
      <c r="H89" s="378">
        <v>0.39145957999999992</v>
      </c>
      <c r="I89" s="189">
        <f t="shared" si="3"/>
        <v>0</v>
      </c>
      <c r="J89" s="35"/>
    </row>
    <row r="90" spans="1:10" x14ac:dyDescent="0.25">
      <c r="A90" s="21" t="s">
        <v>655</v>
      </c>
      <c r="B90" s="189">
        <v>0.77945751000000008</v>
      </c>
      <c r="C90" s="189">
        <v>0.77945750999999996</v>
      </c>
      <c r="D90" s="378">
        <f t="shared" si="2"/>
        <v>0</v>
      </c>
      <c r="E90" s="25"/>
      <c r="F90" s="21" t="s">
        <v>670</v>
      </c>
      <c r="G90" s="189">
        <v>32.242491759999794</v>
      </c>
      <c r="H90" s="378">
        <v>32.242491759999794</v>
      </c>
      <c r="I90" s="189">
        <f t="shared" si="3"/>
        <v>0</v>
      </c>
      <c r="J90" s="35"/>
    </row>
    <row r="91" spans="1:10" x14ac:dyDescent="0.25">
      <c r="A91" s="21" t="s">
        <v>504</v>
      </c>
      <c r="B91" s="189">
        <v>25.211791109999982</v>
      </c>
      <c r="C91" s="189">
        <v>25.211791109999975</v>
      </c>
      <c r="D91" s="378">
        <f t="shared" si="2"/>
        <v>0</v>
      </c>
      <c r="E91" s="25"/>
      <c r="F91" s="21" t="s">
        <v>668</v>
      </c>
      <c r="G91" s="189">
        <v>0.24570005999999989</v>
      </c>
      <c r="H91" s="378">
        <v>0.24570005999999989</v>
      </c>
      <c r="I91" s="189">
        <f t="shared" si="3"/>
        <v>0</v>
      </c>
      <c r="J91" s="35"/>
    </row>
    <row r="92" spans="1:10" x14ac:dyDescent="0.25">
      <c r="A92" s="21" t="s">
        <v>628</v>
      </c>
      <c r="B92" s="189">
        <v>207.37012890999998</v>
      </c>
      <c r="C92" s="189">
        <v>207.37012890999989</v>
      </c>
      <c r="D92" s="378">
        <f t="shared" si="2"/>
        <v>0</v>
      </c>
      <c r="E92" s="25"/>
      <c r="F92" s="21" t="s">
        <v>665</v>
      </c>
      <c r="G92" s="189">
        <v>524.69866512999999</v>
      </c>
      <c r="H92" s="378">
        <v>524.69866512999999</v>
      </c>
      <c r="I92" s="189">
        <f t="shared" si="3"/>
        <v>0</v>
      </c>
      <c r="J92" s="35"/>
    </row>
    <row r="93" spans="1:10" x14ac:dyDescent="0.25">
      <c r="A93" s="21" t="s">
        <v>627</v>
      </c>
      <c r="B93" s="189">
        <v>1.1056E-2</v>
      </c>
      <c r="C93" s="189">
        <v>1.1056E-2</v>
      </c>
      <c r="D93" s="378">
        <f t="shared" si="2"/>
        <v>0</v>
      </c>
      <c r="E93" s="25"/>
      <c r="F93" s="21" t="s">
        <v>664</v>
      </c>
      <c r="G93" s="189">
        <v>1.649863E-2</v>
      </c>
      <c r="H93" s="378">
        <v>1.649863E-2</v>
      </c>
      <c r="I93" s="189">
        <f t="shared" si="3"/>
        <v>0</v>
      </c>
      <c r="J93" s="35"/>
    </row>
    <row r="94" spans="1:10" x14ac:dyDescent="0.25">
      <c r="A94" s="21" t="s">
        <v>625</v>
      </c>
      <c r="B94" s="189">
        <v>9.6299999999999997E-3</v>
      </c>
      <c r="C94" s="189">
        <v>9.6299999999999997E-3</v>
      </c>
      <c r="D94" s="378">
        <f t="shared" si="2"/>
        <v>0</v>
      </c>
      <c r="E94" s="25"/>
      <c r="F94" s="21" t="s">
        <v>691</v>
      </c>
      <c r="G94" s="189">
        <v>2.5000000000000001E-4</v>
      </c>
      <c r="H94" s="378">
        <v>2.5000000000000001E-4</v>
      </c>
      <c r="I94" s="189">
        <f t="shared" si="3"/>
        <v>0</v>
      </c>
      <c r="J94" s="35"/>
    </row>
    <row r="95" spans="1:10" x14ac:dyDescent="0.25">
      <c r="A95" s="21" t="s">
        <v>623</v>
      </c>
      <c r="B95" s="189">
        <v>0.5216869999999999</v>
      </c>
      <c r="C95" s="189">
        <v>0.52168700000000001</v>
      </c>
      <c r="D95" s="378">
        <f t="shared" si="2"/>
        <v>0</v>
      </c>
      <c r="E95" s="25"/>
      <c r="F95" s="21" t="s">
        <v>526</v>
      </c>
      <c r="G95" s="189">
        <v>374.39947882999996</v>
      </c>
      <c r="H95" s="378">
        <v>374.39947882999996</v>
      </c>
      <c r="I95" s="189">
        <f t="shared" si="3"/>
        <v>0</v>
      </c>
      <c r="J95" s="35"/>
    </row>
    <row r="96" spans="1:10" x14ac:dyDescent="0.25">
      <c r="A96" s="21" t="s">
        <v>622</v>
      </c>
      <c r="B96" s="189">
        <v>11.554121719999987</v>
      </c>
      <c r="C96" s="189">
        <v>11.554121719999989</v>
      </c>
      <c r="D96" s="378">
        <f t="shared" si="2"/>
        <v>0</v>
      </c>
      <c r="E96" s="25"/>
      <c r="F96" s="21" t="s">
        <v>662</v>
      </c>
      <c r="G96" s="189">
        <v>3.5279999999999999E-2</v>
      </c>
      <c r="H96" s="378">
        <v>3.5279999999999999E-2</v>
      </c>
      <c r="I96" s="189">
        <f t="shared" si="3"/>
        <v>0</v>
      </c>
      <c r="J96" s="35"/>
    </row>
    <row r="97" spans="1:10" x14ac:dyDescent="0.25">
      <c r="A97" s="21" t="s">
        <v>621</v>
      </c>
      <c r="B97" s="189">
        <v>1.4258348000000001</v>
      </c>
      <c r="C97" s="189">
        <v>1.4258347999999996</v>
      </c>
      <c r="D97" s="378">
        <f t="shared" si="2"/>
        <v>0</v>
      </c>
      <c r="E97" s="25"/>
      <c r="F97" s="21" t="s">
        <v>661</v>
      </c>
      <c r="G97" s="189">
        <v>9.8840283499999995</v>
      </c>
      <c r="H97" s="378">
        <v>9.8840283499999995</v>
      </c>
      <c r="I97" s="189">
        <f t="shared" si="3"/>
        <v>0</v>
      </c>
      <c r="J97" s="35"/>
    </row>
    <row r="98" spans="1:10" x14ac:dyDescent="0.25">
      <c r="A98" s="21" t="s">
        <v>645</v>
      </c>
      <c r="B98" s="189">
        <v>2.4859106099999999</v>
      </c>
      <c r="C98" s="189">
        <v>2.4859106099999999</v>
      </c>
      <c r="D98" s="378">
        <f t="shared" si="2"/>
        <v>0</v>
      </c>
      <c r="E98" s="25"/>
      <c r="F98" s="21" t="s">
        <v>660</v>
      </c>
      <c r="G98" s="189">
        <v>22.886875229999955</v>
      </c>
      <c r="H98" s="378">
        <v>22.886875229999973</v>
      </c>
      <c r="I98" s="189">
        <f t="shared" si="3"/>
        <v>0</v>
      </c>
      <c r="J98" s="35"/>
    </row>
    <row r="99" spans="1:10" x14ac:dyDescent="0.25">
      <c r="A99" s="21" t="s">
        <v>619</v>
      </c>
      <c r="B99" s="189">
        <v>4.6170299999999886E-2</v>
      </c>
      <c r="C99" s="189">
        <v>4.6170299999999886E-2</v>
      </c>
      <c r="D99" s="378">
        <f t="shared" si="2"/>
        <v>0</v>
      </c>
      <c r="E99" s="25"/>
      <c r="F99" s="21" t="s">
        <v>659</v>
      </c>
      <c r="G99" s="189">
        <v>6.6801437099999994</v>
      </c>
      <c r="H99" s="378">
        <v>6.6801437099999976</v>
      </c>
      <c r="I99" s="189">
        <f t="shared" si="3"/>
        <v>0</v>
      </c>
      <c r="J99" s="35"/>
    </row>
    <row r="100" spans="1:10" x14ac:dyDescent="0.25">
      <c r="A100" s="21" t="s">
        <v>641</v>
      </c>
      <c r="B100" s="189">
        <v>0.1326913099999999</v>
      </c>
      <c r="C100" s="189">
        <v>0.1326913099999999</v>
      </c>
      <c r="D100" s="378">
        <f t="shared" si="2"/>
        <v>0</v>
      </c>
      <c r="E100" s="25"/>
      <c r="F100" s="21" t="s">
        <v>657</v>
      </c>
      <c r="G100" s="189">
        <v>0.51390355999999782</v>
      </c>
      <c r="H100" s="378">
        <v>0.51390355999999793</v>
      </c>
      <c r="I100" s="189">
        <f t="shared" si="3"/>
        <v>0</v>
      </c>
      <c r="J100" s="35"/>
    </row>
    <row r="101" spans="1:10" x14ac:dyDescent="0.25">
      <c r="A101" s="21" t="s">
        <v>618</v>
      </c>
      <c r="B101" s="189">
        <v>3.3747779999999797E-2</v>
      </c>
      <c r="C101" s="189">
        <v>3.3747779999999797E-2</v>
      </c>
      <c r="D101" s="378">
        <f t="shared" si="2"/>
        <v>0</v>
      </c>
      <c r="E101" s="25"/>
      <c r="F101" s="21" t="s">
        <v>656</v>
      </c>
      <c r="G101" s="189">
        <v>8.26346899999999E-2</v>
      </c>
      <c r="H101" s="378">
        <v>8.26346899999999E-2</v>
      </c>
      <c r="I101" s="189">
        <f t="shared" si="3"/>
        <v>0</v>
      </c>
      <c r="J101" s="35"/>
    </row>
    <row r="102" spans="1:10" x14ac:dyDescent="0.25">
      <c r="A102" s="21" t="s">
        <v>617</v>
      </c>
      <c r="B102" s="189">
        <v>1.5471678699999993</v>
      </c>
      <c r="C102" s="189">
        <v>1.5471678699999996</v>
      </c>
      <c r="D102" s="378">
        <f t="shared" si="2"/>
        <v>0</v>
      </c>
      <c r="E102" s="25"/>
      <c r="F102" s="21" t="s">
        <v>653</v>
      </c>
      <c r="G102" s="189">
        <v>16.983608079999971</v>
      </c>
      <c r="H102" s="378">
        <v>16.983608079999971</v>
      </c>
      <c r="I102" s="189">
        <f t="shared" si="3"/>
        <v>0</v>
      </c>
      <c r="J102" s="35"/>
    </row>
    <row r="103" spans="1:10" x14ac:dyDescent="0.25">
      <c r="A103" s="21" t="s">
        <v>494</v>
      </c>
      <c r="B103" s="189">
        <v>116.60843264999988</v>
      </c>
      <c r="C103" s="189">
        <v>116.60843264999988</v>
      </c>
      <c r="D103" s="378">
        <f t="shared" si="2"/>
        <v>0</v>
      </c>
      <c r="E103" s="25"/>
      <c r="F103" s="21" t="s">
        <v>652</v>
      </c>
      <c r="G103" s="189">
        <v>5.1260171399999797</v>
      </c>
      <c r="H103" s="378">
        <v>5.1260171399999797</v>
      </c>
      <c r="I103" s="189">
        <f t="shared" si="3"/>
        <v>0</v>
      </c>
      <c r="J103" s="35"/>
    </row>
    <row r="104" spans="1:10" x14ac:dyDescent="0.25">
      <c r="A104" s="21" t="s">
        <v>615</v>
      </c>
      <c r="B104" s="189">
        <v>8.3820000000000006E-2</v>
      </c>
      <c r="C104" s="189">
        <v>8.3820000000000006E-2</v>
      </c>
      <c r="D104" s="378">
        <f t="shared" si="2"/>
        <v>0</v>
      </c>
      <c r="E104" s="25"/>
      <c r="F104" s="21" t="s">
        <v>650</v>
      </c>
      <c r="G104" s="189">
        <v>8.7314565200000001</v>
      </c>
      <c r="H104" s="378">
        <v>8.7314565200000001</v>
      </c>
      <c r="I104" s="189">
        <f t="shared" si="3"/>
        <v>0</v>
      </c>
      <c r="J104" s="35"/>
    </row>
    <row r="105" spans="1:10" x14ac:dyDescent="0.25">
      <c r="A105" s="21" t="s">
        <v>614</v>
      </c>
      <c r="B105" s="189">
        <v>20.686509209999986</v>
      </c>
      <c r="C105" s="189">
        <v>20.68650920999999</v>
      </c>
      <c r="D105" s="378">
        <f t="shared" si="2"/>
        <v>0</v>
      </c>
      <c r="E105" s="25"/>
      <c r="F105" s="21" t="s">
        <v>649</v>
      </c>
      <c r="G105" s="189">
        <v>0.147915989999999</v>
      </c>
      <c r="H105" s="378">
        <v>0.147915989999999</v>
      </c>
      <c r="I105" s="189">
        <f t="shared" si="3"/>
        <v>0</v>
      </c>
      <c r="J105" s="35"/>
    </row>
    <row r="106" spans="1:10" x14ac:dyDescent="0.25">
      <c r="A106" s="21" t="s">
        <v>613</v>
      </c>
      <c r="B106" s="189">
        <v>3.3470000000000001E-3</v>
      </c>
      <c r="C106" s="189">
        <v>3.3470000000000001E-3</v>
      </c>
      <c r="D106" s="378">
        <f t="shared" si="2"/>
        <v>0</v>
      </c>
      <c r="E106" s="25"/>
      <c r="F106" s="21" t="s">
        <v>648</v>
      </c>
      <c r="G106" s="189">
        <v>2.6426044999999996</v>
      </c>
      <c r="H106" s="378">
        <v>2.6426044999999996</v>
      </c>
      <c r="I106" s="189">
        <f t="shared" si="3"/>
        <v>0</v>
      </c>
      <c r="J106" s="35"/>
    </row>
    <row r="107" spans="1:10" x14ac:dyDescent="0.25">
      <c r="A107" s="21" t="s">
        <v>524</v>
      </c>
      <c r="B107" s="189">
        <v>0.83616979999999974</v>
      </c>
      <c r="C107" s="189">
        <v>0.83616979999999974</v>
      </c>
      <c r="D107" s="378">
        <f t="shared" si="2"/>
        <v>0</v>
      </c>
      <c r="E107" s="25"/>
      <c r="F107" s="21" t="s">
        <v>647</v>
      </c>
      <c r="G107" s="189">
        <v>78.234742509999776</v>
      </c>
      <c r="H107" s="378">
        <v>78.234742509999862</v>
      </c>
      <c r="I107" s="189">
        <f t="shared" si="3"/>
        <v>0</v>
      </c>
      <c r="J107" s="35"/>
    </row>
    <row r="108" spans="1:10" x14ac:dyDescent="0.25">
      <c r="A108" s="21" t="s">
        <v>612</v>
      </c>
      <c r="B108" s="189">
        <v>84.179956609999806</v>
      </c>
      <c r="C108" s="189">
        <v>84.179956609999891</v>
      </c>
      <c r="D108" s="378">
        <f t="shared" si="2"/>
        <v>0</v>
      </c>
      <c r="E108" s="25"/>
      <c r="F108" s="21" t="s">
        <v>646</v>
      </c>
      <c r="G108" s="189">
        <v>4.672910819999978</v>
      </c>
      <c r="H108" s="378">
        <v>4.672910819999978</v>
      </c>
      <c r="I108" s="189">
        <f t="shared" si="3"/>
        <v>0</v>
      </c>
      <c r="J108" s="35"/>
    </row>
    <row r="109" spans="1:10" x14ac:dyDescent="0.25">
      <c r="A109" s="21" t="s">
        <v>629</v>
      </c>
      <c r="B109" s="189">
        <v>0.85556961999999981</v>
      </c>
      <c r="C109" s="189">
        <v>0.85556961999999992</v>
      </c>
      <c r="D109" s="378">
        <f t="shared" si="2"/>
        <v>0</v>
      </c>
      <c r="E109" s="25"/>
      <c r="F109" s="21" t="s">
        <v>643</v>
      </c>
      <c r="G109" s="189">
        <v>2.1148055499999967</v>
      </c>
      <c r="H109" s="378">
        <v>2.1148055499999967</v>
      </c>
      <c r="I109" s="189">
        <f t="shared" si="3"/>
        <v>0</v>
      </c>
      <c r="J109" s="35"/>
    </row>
    <row r="110" spans="1:10" x14ac:dyDescent="0.25">
      <c r="A110" s="21" t="s">
        <v>610</v>
      </c>
      <c r="B110" s="189">
        <v>2.0392399999999999E-3</v>
      </c>
      <c r="C110" s="189">
        <v>2.0392399999999999E-3</v>
      </c>
      <c r="D110" s="378">
        <f t="shared" si="2"/>
        <v>0</v>
      </c>
      <c r="E110" s="25"/>
      <c r="F110" s="21" t="s">
        <v>642</v>
      </c>
      <c r="G110" s="189">
        <v>2.5385885699999982</v>
      </c>
      <c r="H110" s="378">
        <v>2.5385885699999973</v>
      </c>
      <c r="I110" s="189">
        <f t="shared" si="3"/>
        <v>0</v>
      </c>
      <c r="J110" s="35"/>
    </row>
    <row r="111" spans="1:10" x14ac:dyDescent="0.25">
      <c r="A111" s="21" t="s">
        <v>609</v>
      </c>
      <c r="B111" s="189">
        <v>1.6194154599999999</v>
      </c>
      <c r="C111" s="189">
        <v>1.6194154599999999</v>
      </c>
      <c r="D111" s="378">
        <f t="shared" si="2"/>
        <v>0</v>
      </c>
      <c r="E111" s="25"/>
      <c r="F111" s="21" t="s">
        <v>640</v>
      </c>
      <c r="G111" s="189">
        <v>2.2247082699999945</v>
      </c>
      <c r="H111" s="378">
        <v>2.2247082699999954</v>
      </c>
      <c r="I111" s="189">
        <f t="shared" si="3"/>
        <v>0</v>
      </c>
      <c r="J111" s="35"/>
    </row>
    <row r="112" spans="1:10" x14ac:dyDescent="0.25">
      <c r="A112" s="21" t="s">
        <v>624</v>
      </c>
      <c r="B112" s="189">
        <v>2.1065006200000003</v>
      </c>
      <c r="C112" s="189">
        <v>2.1065006200000007</v>
      </c>
      <c r="D112" s="378">
        <f t="shared" si="2"/>
        <v>0</v>
      </c>
      <c r="E112" s="25"/>
      <c r="F112" s="21" t="s">
        <v>639</v>
      </c>
      <c r="G112" s="189">
        <v>16.658938619999997</v>
      </c>
      <c r="H112" s="378">
        <v>16.658938619999997</v>
      </c>
      <c r="I112" s="189">
        <f t="shared" si="3"/>
        <v>0</v>
      </c>
      <c r="J112" s="35"/>
    </row>
    <row r="113" spans="1:10" x14ac:dyDescent="0.25">
      <c r="A113" s="21" t="s">
        <v>608</v>
      </c>
      <c r="B113" s="189">
        <v>0.94332368999999983</v>
      </c>
      <c r="C113" s="189">
        <v>0.94332368999999983</v>
      </c>
      <c r="D113" s="378">
        <f t="shared" si="2"/>
        <v>0</v>
      </c>
      <c r="E113" s="25"/>
      <c r="F113" s="21" t="s">
        <v>638</v>
      </c>
      <c r="G113" s="189">
        <v>1.0986676799999986</v>
      </c>
      <c r="H113" s="378">
        <v>1.0986676799999986</v>
      </c>
      <c r="I113" s="189">
        <f t="shared" si="3"/>
        <v>0</v>
      </c>
      <c r="J113" s="35"/>
    </row>
    <row r="114" spans="1:10" x14ac:dyDescent="0.25">
      <c r="A114" s="21" t="s">
        <v>606</v>
      </c>
      <c r="B114" s="189">
        <v>1.895604E-2</v>
      </c>
      <c r="C114" s="189">
        <v>1.895604E-2</v>
      </c>
      <c r="D114" s="378">
        <f t="shared" si="2"/>
        <v>0</v>
      </c>
      <c r="E114" s="25"/>
      <c r="F114" s="21" t="s">
        <v>637</v>
      </c>
      <c r="G114" s="189">
        <v>0.8240416099999992</v>
      </c>
      <c r="H114" s="378">
        <v>0.82404160999999909</v>
      </c>
      <c r="I114" s="189">
        <f t="shared" si="3"/>
        <v>0</v>
      </c>
      <c r="J114" s="35"/>
    </row>
    <row r="115" spans="1:10" x14ac:dyDescent="0.25">
      <c r="A115" s="21" t="s">
        <v>605</v>
      </c>
      <c r="B115" s="189">
        <v>2.6236590000000001E-2</v>
      </c>
      <c r="C115" s="189">
        <v>2.6236590000000001E-2</v>
      </c>
      <c r="D115" s="378">
        <f t="shared" si="2"/>
        <v>0</v>
      </c>
      <c r="E115" s="25"/>
      <c r="F115" s="21" t="s">
        <v>667</v>
      </c>
      <c r="G115" s="189">
        <v>143.37565276999979</v>
      </c>
      <c r="H115" s="378">
        <v>143.37565276999993</v>
      </c>
      <c r="I115" s="189">
        <f t="shared" si="3"/>
        <v>0</v>
      </c>
      <c r="J115" s="35"/>
    </row>
    <row r="116" spans="1:10" x14ac:dyDescent="0.25">
      <c r="A116" s="21" t="s">
        <v>603</v>
      </c>
      <c r="B116" s="189">
        <v>2.5500000000000002E-4</v>
      </c>
      <c r="C116" s="189">
        <v>2.5500000000000002E-4</v>
      </c>
      <c r="D116" s="378">
        <f t="shared" si="2"/>
        <v>0</v>
      </c>
      <c r="E116" s="25"/>
      <c r="F116" s="21" t="s">
        <v>636</v>
      </c>
      <c r="G116" s="189">
        <v>42.667036099999926</v>
      </c>
      <c r="H116" s="378">
        <v>42.667036099999933</v>
      </c>
      <c r="I116" s="189">
        <f t="shared" si="3"/>
        <v>0</v>
      </c>
      <c r="J116" s="35"/>
    </row>
    <row r="117" spans="1:10" x14ac:dyDescent="0.25">
      <c r="A117" s="21" t="s">
        <v>602</v>
      </c>
      <c r="B117" s="189">
        <v>1.4536E-2</v>
      </c>
      <c r="C117" s="189">
        <v>1.4536E-2</v>
      </c>
      <c r="D117" s="378">
        <f t="shared" si="2"/>
        <v>0</v>
      </c>
      <c r="E117" s="25"/>
      <c r="F117" s="21" t="s">
        <v>634</v>
      </c>
      <c r="G117" s="189">
        <v>0.51226040999999978</v>
      </c>
      <c r="H117" s="378">
        <v>0.51226040999999978</v>
      </c>
      <c r="I117" s="189">
        <f t="shared" si="3"/>
        <v>0</v>
      </c>
      <c r="J117" s="35"/>
    </row>
    <row r="118" spans="1:10" x14ac:dyDescent="0.25">
      <c r="A118" s="21" t="s">
        <v>601</v>
      </c>
      <c r="B118" s="189">
        <v>6.046136999999991E-2</v>
      </c>
      <c r="C118" s="189">
        <v>6.0461369999999903E-2</v>
      </c>
      <c r="D118" s="378">
        <f t="shared" si="2"/>
        <v>0</v>
      </c>
      <c r="E118" s="25"/>
      <c r="F118" s="21" t="s">
        <v>632</v>
      </c>
      <c r="G118" s="189">
        <v>3.4906526999999996</v>
      </c>
      <c r="H118" s="378">
        <v>3.4906526999999974</v>
      </c>
      <c r="I118" s="189">
        <f t="shared" si="3"/>
        <v>0</v>
      </c>
      <c r="J118" s="35"/>
    </row>
    <row r="119" spans="1:10" x14ac:dyDescent="0.25">
      <c r="A119" s="21" t="s">
        <v>616</v>
      </c>
      <c r="B119" s="189">
        <v>5.83855E-2</v>
      </c>
      <c r="C119" s="189">
        <v>5.83855E-2</v>
      </c>
      <c r="D119" s="378">
        <f t="shared" si="2"/>
        <v>0</v>
      </c>
      <c r="E119" s="25"/>
      <c r="F119" s="21" t="s">
        <v>631</v>
      </c>
      <c r="G119" s="189">
        <v>1.7698562799999977</v>
      </c>
      <c r="H119" s="378">
        <v>1.7698562799999977</v>
      </c>
      <c r="I119" s="189">
        <f t="shared" si="3"/>
        <v>0</v>
      </c>
      <c r="J119" s="35"/>
    </row>
    <row r="120" spans="1:10" x14ac:dyDescent="0.25">
      <c r="A120" s="21" t="s">
        <v>529</v>
      </c>
      <c r="B120" s="189">
        <v>0.54730668999999965</v>
      </c>
      <c r="C120" s="189">
        <v>0.54730668999999987</v>
      </c>
      <c r="D120" s="378">
        <f t="shared" si="2"/>
        <v>0</v>
      </c>
      <c r="E120" s="25"/>
      <c r="F120" s="21" t="s">
        <v>630</v>
      </c>
      <c r="G120" s="189">
        <v>48.28156791999988</v>
      </c>
      <c r="H120" s="378">
        <v>48.28156791999988</v>
      </c>
      <c r="I120" s="189">
        <f t="shared" si="3"/>
        <v>0</v>
      </c>
      <c r="J120" s="35"/>
    </row>
    <row r="121" spans="1:10" x14ac:dyDescent="0.25">
      <c r="A121" s="21" t="s">
        <v>490</v>
      </c>
      <c r="B121" s="189">
        <v>5.8677657099999738</v>
      </c>
      <c r="C121" s="189">
        <v>5.8677657099999738</v>
      </c>
      <c r="D121" s="378">
        <f t="shared" si="2"/>
        <v>0</v>
      </c>
      <c r="E121" s="25"/>
      <c r="F121" s="21" t="s">
        <v>482</v>
      </c>
      <c r="G121" s="189">
        <v>82.989155349999919</v>
      </c>
      <c r="H121" s="378">
        <v>82.989155349999947</v>
      </c>
      <c r="I121" s="189">
        <f t="shared" si="3"/>
        <v>0</v>
      </c>
      <c r="J121" s="35"/>
    </row>
    <row r="122" spans="1:10" x14ac:dyDescent="0.25">
      <c r="A122" s="21" t="s">
        <v>600</v>
      </c>
      <c r="B122" s="189">
        <v>0.24481252999999989</v>
      </c>
      <c r="C122" s="189">
        <v>0.24481252999999989</v>
      </c>
      <c r="D122" s="378">
        <f t="shared" si="2"/>
        <v>0</v>
      </c>
      <c r="E122" s="25"/>
      <c r="F122" s="21" t="s">
        <v>519</v>
      </c>
      <c r="G122" s="189">
        <v>41.252572459999989</v>
      </c>
      <c r="H122" s="378">
        <v>41.252572459999989</v>
      </c>
      <c r="I122" s="189">
        <f t="shared" si="3"/>
        <v>0</v>
      </c>
      <c r="J122" s="35"/>
    </row>
    <row r="123" spans="1:10" x14ac:dyDescent="0.25">
      <c r="A123" s="21" t="s">
        <v>598</v>
      </c>
      <c r="B123" s="189">
        <v>62.683808589999913</v>
      </c>
      <c r="C123" s="189">
        <v>62.683808589999899</v>
      </c>
      <c r="D123" s="378">
        <f t="shared" si="2"/>
        <v>0</v>
      </c>
      <c r="E123" s="25"/>
      <c r="F123" s="21" t="s">
        <v>655</v>
      </c>
      <c r="G123" s="189">
        <v>181.07358526999985</v>
      </c>
      <c r="H123" s="378">
        <v>181.07358526999977</v>
      </c>
      <c r="I123" s="189">
        <f t="shared" si="3"/>
        <v>0</v>
      </c>
      <c r="J123" s="35"/>
    </row>
    <row r="124" spans="1:10" x14ac:dyDescent="0.25">
      <c r="A124" s="21" t="s">
        <v>611</v>
      </c>
      <c r="B124" s="189">
        <v>7.9389700000000001E-3</v>
      </c>
      <c r="C124" s="189">
        <v>7.9389700000000001E-3</v>
      </c>
      <c r="D124" s="378">
        <f t="shared" si="2"/>
        <v>0</v>
      </c>
      <c r="E124" s="25"/>
      <c r="F124" s="21" t="s">
        <v>628</v>
      </c>
      <c r="G124" s="189">
        <v>985.89256227999977</v>
      </c>
      <c r="H124" s="378">
        <v>985.89256227999977</v>
      </c>
      <c r="I124" s="189">
        <f t="shared" si="3"/>
        <v>0</v>
      </c>
      <c r="J124" s="35"/>
    </row>
    <row r="125" spans="1:10" x14ac:dyDescent="0.25">
      <c r="A125" s="21" t="s">
        <v>597</v>
      </c>
      <c r="B125" s="189">
        <v>11.95163193999999</v>
      </c>
      <c r="C125" s="189">
        <v>11.951631939999993</v>
      </c>
      <c r="D125" s="378">
        <f t="shared" si="2"/>
        <v>0</v>
      </c>
      <c r="E125" s="25"/>
      <c r="F125" s="21" t="s">
        <v>627</v>
      </c>
      <c r="G125" s="189">
        <v>35.988077929999974</v>
      </c>
      <c r="H125" s="378">
        <v>35.988077929999982</v>
      </c>
      <c r="I125" s="189">
        <f t="shared" si="3"/>
        <v>0</v>
      </c>
      <c r="J125" s="35"/>
    </row>
    <row r="126" spans="1:10" x14ac:dyDescent="0.25">
      <c r="A126" s="21" t="s">
        <v>512</v>
      </c>
      <c r="B126" s="189">
        <v>0.72167669000000012</v>
      </c>
      <c r="C126" s="189">
        <v>0.72167669000000001</v>
      </c>
      <c r="D126" s="378">
        <f t="shared" si="2"/>
        <v>0</v>
      </c>
      <c r="E126" s="25"/>
      <c r="F126" s="21" t="s">
        <v>626</v>
      </c>
      <c r="G126" s="189">
        <v>1.7897801499999997</v>
      </c>
      <c r="H126" s="378">
        <v>1.7897801499999988</v>
      </c>
      <c r="I126" s="189">
        <f t="shared" si="3"/>
        <v>0</v>
      </c>
      <c r="J126" s="35"/>
    </row>
    <row r="127" spans="1:10" x14ac:dyDescent="0.25">
      <c r="A127" s="21" t="s">
        <v>607</v>
      </c>
      <c r="B127" s="189">
        <v>0.82834861999999998</v>
      </c>
      <c r="C127" s="189">
        <v>0.82834861999999987</v>
      </c>
      <c r="D127" s="378">
        <f t="shared" si="2"/>
        <v>0</v>
      </c>
      <c r="E127" s="25"/>
      <c r="F127" s="21" t="s">
        <v>625</v>
      </c>
      <c r="G127" s="189">
        <v>4.4840357499999985</v>
      </c>
      <c r="H127" s="378">
        <v>4.4840357499999985</v>
      </c>
      <c r="I127" s="189">
        <f t="shared" si="3"/>
        <v>0</v>
      </c>
      <c r="J127" s="35"/>
    </row>
    <row r="128" spans="1:10" x14ac:dyDescent="0.25">
      <c r="A128" s="21" t="s">
        <v>596</v>
      </c>
      <c r="B128" s="189">
        <v>0.15953559999999978</v>
      </c>
      <c r="C128" s="189">
        <v>0.15953559999999978</v>
      </c>
      <c r="D128" s="378">
        <f t="shared" si="2"/>
        <v>0</v>
      </c>
      <c r="E128" s="25"/>
      <c r="F128" s="21" t="s">
        <v>621</v>
      </c>
      <c r="G128" s="189">
        <v>51.018269849999911</v>
      </c>
      <c r="H128" s="378">
        <v>51.018269849999903</v>
      </c>
      <c r="I128" s="189">
        <f t="shared" si="3"/>
        <v>0</v>
      </c>
      <c r="J128" s="35"/>
    </row>
    <row r="129" spans="1:10" x14ac:dyDescent="0.25">
      <c r="A129" s="21" t="s">
        <v>604</v>
      </c>
      <c r="B129" s="189">
        <v>1186.4213979399988</v>
      </c>
      <c r="C129" s="189">
        <v>1186.4213979399992</v>
      </c>
      <c r="D129" s="378">
        <f t="shared" si="2"/>
        <v>0</v>
      </c>
      <c r="E129" s="25"/>
      <c r="F129" s="21" t="s">
        <v>620</v>
      </c>
      <c r="G129" s="189">
        <v>3.9450093599999883</v>
      </c>
      <c r="H129" s="378">
        <v>3.9450093599999891</v>
      </c>
      <c r="I129" s="189">
        <f t="shared" si="3"/>
        <v>0</v>
      </c>
      <c r="J129" s="35"/>
    </row>
    <row r="130" spans="1:10" x14ac:dyDescent="0.25">
      <c r="A130" s="21" t="s">
        <v>595</v>
      </c>
      <c r="B130" s="189">
        <v>0.30256899999999998</v>
      </c>
      <c r="C130" s="189">
        <v>0.30256899999999998</v>
      </c>
      <c r="D130" s="378">
        <f t="shared" si="2"/>
        <v>0</v>
      </c>
      <c r="E130" s="25"/>
      <c r="F130" s="21" t="s">
        <v>641</v>
      </c>
      <c r="G130" s="189">
        <v>19.266368299999989</v>
      </c>
      <c r="H130" s="378">
        <v>19.266368299999975</v>
      </c>
      <c r="I130" s="189">
        <f t="shared" si="3"/>
        <v>0</v>
      </c>
      <c r="J130" s="35"/>
    </row>
    <row r="131" spans="1:10" x14ac:dyDescent="0.25">
      <c r="A131" s="21" t="s">
        <v>480</v>
      </c>
      <c r="B131" s="189">
        <v>0.15745933999999986</v>
      </c>
      <c r="C131" s="189">
        <v>0.15745933999999989</v>
      </c>
      <c r="D131" s="378">
        <f t="shared" si="2"/>
        <v>0</v>
      </c>
      <c r="E131" s="25"/>
      <c r="F131" s="21" t="s">
        <v>618</v>
      </c>
      <c r="G131" s="189">
        <v>43.431282729999978</v>
      </c>
      <c r="H131" s="378">
        <v>43.431282729999978</v>
      </c>
      <c r="I131" s="189">
        <f t="shared" si="3"/>
        <v>0</v>
      </c>
      <c r="J131" s="35"/>
    </row>
    <row r="132" spans="1:10" x14ac:dyDescent="0.25">
      <c r="A132" s="21" t="s">
        <v>599</v>
      </c>
      <c r="B132" s="189">
        <v>0.27988838999999988</v>
      </c>
      <c r="C132" s="189">
        <v>0.27988838999999988</v>
      </c>
      <c r="D132" s="378">
        <f t="shared" si="2"/>
        <v>0</v>
      </c>
      <c r="E132" s="25"/>
      <c r="F132" s="21" t="s">
        <v>617</v>
      </c>
      <c r="G132" s="189">
        <v>15.843055149999977</v>
      </c>
      <c r="H132" s="378">
        <v>15.843055149999977</v>
      </c>
      <c r="I132" s="189">
        <f t="shared" si="3"/>
        <v>0</v>
      </c>
      <c r="J132" s="35"/>
    </row>
    <row r="133" spans="1:10" x14ac:dyDescent="0.25">
      <c r="A133" s="21" t="s">
        <v>592</v>
      </c>
      <c r="B133" s="189">
        <v>2.5600000000000001E-2</v>
      </c>
      <c r="C133" s="189">
        <v>2.5600000000000001E-2</v>
      </c>
      <c r="D133" s="378">
        <f t="shared" si="2"/>
        <v>0</v>
      </c>
      <c r="E133" s="25"/>
      <c r="F133" s="21" t="s">
        <v>494</v>
      </c>
      <c r="G133" s="189">
        <v>245.42674442999987</v>
      </c>
      <c r="H133" s="378">
        <v>245.42674442999999</v>
      </c>
      <c r="I133" s="189">
        <f t="shared" si="3"/>
        <v>0</v>
      </c>
      <c r="J133" s="35"/>
    </row>
    <row r="134" spans="1:10" x14ac:dyDescent="0.25">
      <c r="A134" s="21" t="s">
        <v>590</v>
      </c>
      <c r="B134" s="189">
        <v>0.45881571000000004</v>
      </c>
      <c r="C134" s="189">
        <v>0.45881571000000004</v>
      </c>
      <c r="D134" s="378">
        <f t="shared" si="2"/>
        <v>0</v>
      </c>
      <c r="E134" s="25"/>
      <c r="F134" s="21" t="s">
        <v>614</v>
      </c>
      <c r="G134" s="189">
        <v>2.1023726599999986</v>
      </c>
      <c r="H134" s="378">
        <v>2.1023726599999986</v>
      </c>
      <c r="I134" s="189">
        <f t="shared" si="3"/>
        <v>0</v>
      </c>
      <c r="J134" s="35"/>
    </row>
    <row r="135" spans="1:10" x14ac:dyDescent="0.25">
      <c r="A135" s="21" t="s">
        <v>594</v>
      </c>
      <c r="B135" s="189">
        <v>8.58182799999999E-2</v>
      </c>
      <c r="C135" s="189">
        <v>8.58182799999999E-2</v>
      </c>
      <c r="D135" s="378">
        <f t="shared" si="2"/>
        <v>0</v>
      </c>
      <c r="E135" s="25"/>
      <c r="F135" s="21" t="s">
        <v>613</v>
      </c>
      <c r="G135" s="189">
        <v>1.0789533199999968</v>
      </c>
      <c r="H135" s="378">
        <v>1.0789533199999968</v>
      </c>
      <c r="I135" s="189">
        <f t="shared" si="3"/>
        <v>0</v>
      </c>
      <c r="J135" s="35"/>
    </row>
    <row r="136" spans="1:10" x14ac:dyDescent="0.25">
      <c r="A136" s="21" t="s">
        <v>525</v>
      </c>
      <c r="B136" s="189">
        <v>3.8418911599999976</v>
      </c>
      <c r="C136" s="189">
        <v>3.8418911599999985</v>
      </c>
      <c r="D136" s="378">
        <f t="shared" si="2"/>
        <v>0</v>
      </c>
      <c r="E136" s="25"/>
      <c r="F136" s="21" t="s">
        <v>524</v>
      </c>
      <c r="G136" s="189">
        <v>20.20308766999996</v>
      </c>
      <c r="H136" s="378">
        <v>20.20308766999996</v>
      </c>
      <c r="I136" s="189">
        <f t="shared" si="3"/>
        <v>0</v>
      </c>
      <c r="J136" s="35"/>
    </row>
    <row r="137" spans="1:10" x14ac:dyDescent="0.25">
      <c r="A137" s="21" t="s">
        <v>935</v>
      </c>
      <c r="B137" s="189">
        <v>131.26334259000001</v>
      </c>
      <c r="C137" s="189">
        <v>131.26334258999998</v>
      </c>
      <c r="D137" s="378">
        <f t="shared" si="2"/>
        <v>0</v>
      </c>
      <c r="E137" s="25"/>
      <c r="F137" s="21" t="s">
        <v>610</v>
      </c>
      <c r="G137" s="189">
        <v>0.37815314999999983</v>
      </c>
      <c r="H137" s="378">
        <v>0.37815314999999983</v>
      </c>
      <c r="I137" s="189">
        <f t="shared" si="3"/>
        <v>0</v>
      </c>
      <c r="J137" s="35"/>
    </row>
    <row r="138" spans="1:10" x14ac:dyDescent="0.25">
      <c r="A138" s="21" t="s">
        <v>588</v>
      </c>
      <c r="B138" s="189">
        <v>0.21779791000000001</v>
      </c>
      <c r="C138" s="189">
        <v>0.21779791000000001</v>
      </c>
      <c r="D138" s="378">
        <f t="shared" si="2"/>
        <v>0</v>
      </c>
      <c r="E138" s="25"/>
      <c r="F138" s="21" t="s">
        <v>508</v>
      </c>
      <c r="G138" s="189">
        <v>27.471880179999971</v>
      </c>
      <c r="H138" s="378">
        <v>27.471880179999982</v>
      </c>
      <c r="I138" s="189">
        <f t="shared" si="3"/>
        <v>0</v>
      </c>
      <c r="J138" s="35"/>
    </row>
    <row r="139" spans="1:10" x14ac:dyDescent="0.25">
      <c r="A139" s="21" t="s">
        <v>586</v>
      </c>
      <c r="B139" s="189">
        <v>3.9567890000000001E-2</v>
      </c>
      <c r="C139" s="189">
        <v>3.9567890000000001E-2</v>
      </c>
      <c r="D139" s="378">
        <f t="shared" ref="D139:D202" si="4">C139-B139</f>
        <v>0</v>
      </c>
      <c r="E139" s="25"/>
      <c r="F139" s="21" t="s">
        <v>606</v>
      </c>
      <c r="G139" s="189">
        <v>1.9089910999999986</v>
      </c>
      <c r="H139" s="378">
        <v>1.9089910999999984</v>
      </c>
      <c r="I139" s="189">
        <f t="shared" ref="I139:I202" si="5">H139-G139</f>
        <v>0</v>
      </c>
      <c r="J139" s="35"/>
    </row>
    <row r="140" spans="1:10" x14ac:dyDescent="0.25">
      <c r="A140" s="21" t="s">
        <v>584</v>
      </c>
      <c r="B140" s="189">
        <v>9.3843763499999895</v>
      </c>
      <c r="C140" s="189">
        <v>9.3843763499999913</v>
      </c>
      <c r="D140" s="378">
        <f t="shared" si="4"/>
        <v>0</v>
      </c>
      <c r="E140" s="25"/>
      <c r="F140" s="21" t="s">
        <v>605</v>
      </c>
      <c r="G140" s="189">
        <v>2.0611432799999969</v>
      </c>
      <c r="H140" s="378">
        <v>2.0611432799999969</v>
      </c>
      <c r="I140" s="189">
        <f t="shared" si="5"/>
        <v>0</v>
      </c>
      <c r="J140" s="35"/>
    </row>
    <row r="141" spans="1:10" x14ac:dyDescent="0.25">
      <c r="A141" s="21" t="s">
        <v>583</v>
      </c>
      <c r="B141" s="189">
        <v>3.5230272500000006</v>
      </c>
      <c r="C141" s="189">
        <v>3.5230272500000002</v>
      </c>
      <c r="D141" s="378">
        <f t="shared" si="4"/>
        <v>0</v>
      </c>
      <c r="E141" s="25"/>
      <c r="F141" s="21" t="s">
        <v>602</v>
      </c>
      <c r="G141" s="189">
        <v>2.9753929299999995</v>
      </c>
      <c r="H141" s="378">
        <v>2.9753929299999982</v>
      </c>
      <c r="I141" s="189">
        <f t="shared" si="5"/>
        <v>0</v>
      </c>
      <c r="J141" s="35"/>
    </row>
    <row r="142" spans="1:10" x14ac:dyDescent="0.25">
      <c r="A142" s="21" t="s">
        <v>581</v>
      </c>
      <c r="B142" s="189">
        <v>2.5538876399999988</v>
      </c>
      <c r="C142" s="189">
        <v>2.5538876399999983</v>
      </c>
      <c r="D142" s="378">
        <f t="shared" si="4"/>
        <v>0</v>
      </c>
      <c r="E142" s="25"/>
      <c r="F142" s="21" t="s">
        <v>616</v>
      </c>
      <c r="G142" s="189">
        <v>2.2208409299999996</v>
      </c>
      <c r="H142" s="378">
        <v>2.2208409299999987</v>
      </c>
      <c r="I142" s="189">
        <f t="shared" si="5"/>
        <v>0</v>
      </c>
      <c r="J142" s="35"/>
    </row>
    <row r="143" spans="1:10" x14ac:dyDescent="0.25">
      <c r="A143" s="21" t="s">
        <v>582</v>
      </c>
      <c r="B143" s="189">
        <v>2.4492062199999998</v>
      </c>
      <c r="C143" s="189">
        <v>2.4492062199999998</v>
      </c>
      <c r="D143" s="378">
        <f t="shared" si="4"/>
        <v>0</v>
      </c>
      <c r="E143" s="25"/>
      <c r="F143" s="21" t="s">
        <v>529</v>
      </c>
      <c r="G143" s="189">
        <v>22.861483239999991</v>
      </c>
      <c r="H143" s="378">
        <v>22.861483239999966</v>
      </c>
      <c r="I143" s="189">
        <f t="shared" si="5"/>
        <v>0</v>
      </c>
      <c r="J143" s="35"/>
    </row>
    <row r="144" spans="1:10" x14ac:dyDescent="0.25">
      <c r="A144" s="21" t="s">
        <v>515</v>
      </c>
      <c r="B144" s="189">
        <v>7.62745172999999</v>
      </c>
      <c r="C144" s="189">
        <v>7.6274517299999909</v>
      </c>
      <c r="D144" s="378">
        <f t="shared" si="4"/>
        <v>0</v>
      </c>
      <c r="E144" s="25"/>
      <c r="F144" s="21" t="s">
        <v>490</v>
      </c>
      <c r="G144" s="189">
        <v>67.289354099999798</v>
      </c>
      <c r="H144" s="378">
        <v>67.289354099999898</v>
      </c>
      <c r="I144" s="189">
        <f t="shared" si="5"/>
        <v>0</v>
      </c>
      <c r="J144" s="35"/>
    </row>
    <row r="145" spans="1:10" x14ac:dyDescent="0.25">
      <c r="A145" s="21" t="s">
        <v>580</v>
      </c>
      <c r="B145" s="189">
        <v>7.7580199999999946E-2</v>
      </c>
      <c r="C145" s="189">
        <v>7.7580199999999933E-2</v>
      </c>
      <c r="D145" s="378">
        <f t="shared" si="4"/>
        <v>0</v>
      </c>
      <c r="E145" s="25"/>
      <c r="F145" s="21" t="s">
        <v>600</v>
      </c>
      <c r="G145" s="189">
        <v>6.448430729999993</v>
      </c>
      <c r="H145" s="378">
        <v>6.4484307299999903</v>
      </c>
      <c r="I145" s="189">
        <f t="shared" si="5"/>
        <v>0</v>
      </c>
      <c r="J145" s="35"/>
    </row>
    <row r="146" spans="1:10" x14ac:dyDescent="0.25">
      <c r="A146" s="21" t="s">
        <v>579</v>
      </c>
      <c r="B146" s="189">
        <v>0.55559940999999968</v>
      </c>
      <c r="C146" s="189">
        <v>0.55559940999999924</v>
      </c>
      <c r="D146" s="378">
        <f t="shared" si="4"/>
        <v>0</v>
      </c>
      <c r="E146" s="25"/>
      <c r="F146" s="21" t="s">
        <v>598</v>
      </c>
      <c r="G146" s="189">
        <v>16.571599819999978</v>
      </c>
      <c r="H146" s="378">
        <v>16.571599819999971</v>
      </c>
      <c r="I146" s="189">
        <f t="shared" si="5"/>
        <v>0</v>
      </c>
      <c r="J146" s="35"/>
    </row>
    <row r="147" spans="1:10" x14ac:dyDescent="0.25">
      <c r="A147" s="21" t="s">
        <v>521</v>
      </c>
      <c r="B147" s="189">
        <v>35.122663159999959</v>
      </c>
      <c r="C147" s="189">
        <v>35.122663159999931</v>
      </c>
      <c r="D147" s="378">
        <f t="shared" si="4"/>
        <v>0</v>
      </c>
      <c r="E147" s="25"/>
      <c r="F147" s="21" t="s">
        <v>611</v>
      </c>
      <c r="G147" s="189">
        <v>25.522708029999972</v>
      </c>
      <c r="H147" s="378">
        <v>25.522708029999993</v>
      </c>
      <c r="I147" s="189">
        <f t="shared" si="5"/>
        <v>0</v>
      </c>
      <c r="J147" s="35"/>
    </row>
    <row r="148" spans="1:10" x14ac:dyDescent="0.25">
      <c r="A148" s="21" t="s">
        <v>578</v>
      </c>
      <c r="B148" s="189">
        <v>1.4211E-2</v>
      </c>
      <c r="C148" s="189">
        <v>1.4211E-2</v>
      </c>
      <c r="D148" s="378">
        <f t="shared" si="4"/>
        <v>0</v>
      </c>
      <c r="E148" s="25"/>
      <c r="F148" s="21" t="s">
        <v>597</v>
      </c>
      <c r="G148" s="189">
        <v>29.826196959999955</v>
      </c>
      <c r="H148" s="378">
        <v>29.826196959999962</v>
      </c>
      <c r="I148" s="189">
        <f t="shared" si="5"/>
        <v>0</v>
      </c>
      <c r="J148" s="35"/>
    </row>
    <row r="149" spans="1:10" x14ac:dyDescent="0.25">
      <c r="A149" s="21" t="s">
        <v>576</v>
      </c>
      <c r="B149" s="189">
        <v>6.9158997299999942</v>
      </c>
      <c r="C149" s="189">
        <v>6.915899729999996</v>
      </c>
      <c r="D149" s="378">
        <f t="shared" si="4"/>
        <v>0</v>
      </c>
      <c r="E149" s="25"/>
      <c r="F149" s="21" t="s">
        <v>512</v>
      </c>
      <c r="G149" s="189">
        <v>16.967166169999949</v>
      </c>
      <c r="H149" s="378">
        <v>16.967166169999956</v>
      </c>
      <c r="I149" s="189">
        <f t="shared" si="5"/>
        <v>0</v>
      </c>
      <c r="J149" s="35"/>
    </row>
    <row r="150" spans="1:10" x14ac:dyDescent="0.25">
      <c r="A150" s="21" t="s">
        <v>575</v>
      </c>
      <c r="B150" s="189">
        <v>2.6127852300000001</v>
      </c>
      <c r="C150" s="189">
        <v>2.6127852300000001</v>
      </c>
      <c r="D150" s="378">
        <f t="shared" si="4"/>
        <v>0</v>
      </c>
      <c r="E150" s="25"/>
      <c r="F150" s="21" t="s">
        <v>604</v>
      </c>
      <c r="G150" s="189">
        <v>624.22312619999877</v>
      </c>
      <c r="H150" s="378">
        <v>624.22312619999877</v>
      </c>
      <c r="I150" s="189">
        <f t="shared" si="5"/>
        <v>0</v>
      </c>
      <c r="J150" s="35"/>
    </row>
    <row r="151" spans="1:10" x14ac:dyDescent="0.25">
      <c r="A151" s="21" t="s">
        <v>574</v>
      </c>
      <c r="B151" s="189">
        <v>0.58447368999999905</v>
      </c>
      <c r="C151" s="189">
        <v>0.58447368999999894</v>
      </c>
      <c r="D151" s="378">
        <f t="shared" si="4"/>
        <v>0</v>
      </c>
      <c r="E151" s="25"/>
      <c r="F151" s="21" t="s">
        <v>595</v>
      </c>
      <c r="G151" s="189">
        <v>7.44147379999999</v>
      </c>
      <c r="H151" s="378">
        <v>7.44147379999999</v>
      </c>
      <c r="I151" s="189">
        <f t="shared" si="5"/>
        <v>0</v>
      </c>
      <c r="J151" s="35"/>
    </row>
    <row r="152" spans="1:10" x14ac:dyDescent="0.25">
      <c r="A152" s="21" t="s">
        <v>573</v>
      </c>
      <c r="B152" s="189">
        <v>0.81035257999999999</v>
      </c>
      <c r="C152" s="189">
        <v>0.8103525800000001</v>
      </c>
      <c r="D152" s="378">
        <f t="shared" si="4"/>
        <v>0</v>
      </c>
      <c r="E152" s="25"/>
      <c r="F152" s="21" t="s">
        <v>593</v>
      </c>
      <c r="G152" s="189">
        <v>1.5259503699999988</v>
      </c>
      <c r="H152" s="378">
        <v>1.5259503699999988</v>
      </c>
      <c r="I152" s="189">
        <f t="shared" si="5"/>
        <v>0</v>
      </c>
      <c r="J152" s="35"/>
    </row>
    <row r="153" spans="1:10" x14ac:dyDescent="0.25">
      <c r="A153" s="21" t="s">
        <v>572</v>
      </c>
      <c r="B153" s="189">
        <v>1.6890909399999998</v>
      </c>
      <c r="C153" s="189">
        <v>1.68909094</v>
      </c>
      <c r="D153" s="378">
        <f t="shared" si="4"/>
        <v>0</v>
      </c>
      <c r="E153" s="25"/>
      <c r="F153" s="21" t="s">
        <v>480</v>
      </c>
      <c r="G153" s="189">
        <v>17.50446825999996</v>
      </c>
      <c r="H153" s="378">
        <v>17.504468259999971</v>
      </c>
      <c r="I153" s="189">
        <f t="shared" si="5"/>
        <v>0</v>
      </c>
      <c r="J153" s="35"/>
    </row>
    <row r="154" spans="1:10" x14ac:dyDescent="0.25">
      <c r="A154" s="21" t="s">
        <v>571</v>
      </c>
      <c r="B154" s="189">
        <v>0.65</v>
      </c>
      <c r="C154" s="189">
        <v>0.65</v>
      </c>
      <c r="D154" s="378">
        <f t="shared" si="4"/>
        <v>0</v>
      </c>
      <c r="E154" s="25"/>
      <c r="F154" s="21" t="s">
        <v>599</v>
      </c>
      <c r="G154" s="189">
        <v>50.184106939999928</v>
      </c>
      <c r="H154" s="378">
        <v>50.184106939999921</v>
      </c>
      <c r="I154" s="189">
        <f t="shared" si="5"/>
        <v>0</v>
      </c>
      <c r="J154" s="35"/>
    </row>
    <row r="155" spans="1:10" x14ac:dyDescent="0.25">
      <c r="A155" s="21" t="s">
        <v>570</v>
      </c>
      <c r="B155" s="189">
        <v>8.4449936099999849</v>
      </c>
      <c r="C155" s="189">
        <v>8.4449936099999867</v>
      </c>
      <c r="D155" s="378">
        <f t="shared" si="4"/>
        <v>0</v>
      </c>
      <c r="E155" s="25"/>
      <c r="F155" s="21" t="s">
        <v>592</v>
      </c>
      <c r="G155" s="189">
        <v>3.1168177599999973</v>
      </c>
      <c r="H155" s="378">
        <v>3.1168177599999964</v>
      </c>
      <c r="I155" s="189">
        <f t="shared" si="5"/>
        <v>0</v>
      </c>
      <c r="J155" s="35"/>
    </row>
    <row r="156" spans="1:10" x14ac:dyDescent="0.25">
      <c r="A156" s="21" t="s">
        <v>568</v>
      </c>
      <c r="B156" s="189">
        <v>1.34413899999999E-2</v>
      </c>
      <c r="C156" s="189">
        <v>1.34413899999999E-2</v>
      </c>
      <c r="D156" s="378">
        <f t="shared" si="4"/>
        <v>0</v>
      </c>
      <c r="E156" s="25"/>
      <c r="F156" s="21" t="s">
        <v>591</v>
      </c>
      <c r="G156" s="189">
        <v>246.0266836199998</v>
      </c>
      <c r="H156" s="378">
        <v>246.02668361999977</v>
      </c>
      <c r="I156" s="189">
        <f t="shared" si="5"/>
        <v>0</v>
      </c>
      <c r="J156" s="35"/>
    </row>
    <row r="157" spans="1:10" x14ac:dyDescent="0.25">
      <c r="A157" s="21" t="s">
        <v>567</v>
      </c>
      <c r="B157" s="189">
        <v>8.8199999999999997E-4</v>
      </c>
      <c r="C157" s="189">
        <v>8.8199999999999997E-4</v>
      </c>
      <c r="D157" s="378">
        <f t="shared" si="4"/>
        <v>0</v>
      </c>
      <c r="E157" s="25"/>
      <c r="F157" s="21" t="s">
        <v>590</v>
      </c>
      <c r="G157" s="189">
        <v>220.39929737999998</v>
      </c>
      <c r="H157" s="378">
        <v>220.39929737999998</v>
      </c>
      <c r="I157" s="189">
        <f t="shared" si="5"/>
        <v>0</v>
      </c>
      <c r="J157" s="35"/>
    </row>
    <row r="158" spans="1:10" x14ac:dyDescent="0.25">
      <c r="A158" s="21" t="s">
        <v>566</v>
      </c>
      <c r="B158" s="189">
        <v>1.92989199999999E-2</v>
      </c>
      <c r="C158" s="189">
        <v>1.92989199999999E-2</v>
      </c>
      <c r="D158" s="378">
        <f t="shared" si="4"/>
        <v>0</v>
      </c>
      <c r="E158" s="25"/>
      <c r="F158" s="21" t="s">
        <v>594</v>
      </c>
      <c r="G158" s="189">
        <v>14.969470329999977</v>
      </c>
      <c r="H158" s="378">
        <v>14.969470329999977</v>
      </c>
      <c r="I158" s="189">
        <f t="shared" si="5"/>
        <v>0</v>
      </c>
      <c r="J158" s="35"/>
    </row>
    <row r="159" spans="1:10" x14ac:dyDescent="0.25">
      <c r="A159" s="21" t="s">
        <v>565</v>
      </c>
      <c r="B159" s="189">
        <v>8.2970351299999763</v>
      </c>
      <c r="C159" s="189">
        <v>8.2970351299999763</v>
      </c>
      <c r="D159" s="378">
        <f t="shared" si="4"/>
        <v>0</v>
      </c>
      <c r="E159" s="25"/>
      <c r="F159" s="21" t="s">
        <v>525</v>
      </c>
      <c r="G159" s="189">
        <v>107.69116519999983</v>
      </c>
      <c r="H159" s="378">
        <v>107.6911651999998</v>
      </c>
      <c r="I159" s="189">
        <f t="shared" si="5"/>
        <v>0</v>
      </c>
      <c r="J159" s="35"/>
    </row>
    <row r="160" spans="1:10" x14ac:dyDescent="0.25">
      <c r="A160" s="21" t="s">
        <v>486</v>
      </c>
      <c r="B160" s="189">
        <v>0.43376846999999996</v>
      </c>
      <c r="C160" s="189">
        <v>0.43376846999999996</v>
      </c>
      <c r="D160" s="378">
        <f t="shared" si="4"/>
        <v>0</v>
      </c>
      <c r="E160" s="25"/>
      <c r="F160" s="21" t="s">
        <v>892</v>
      </c>
      <c r="G160" s="189">
        <v>7.2050160000000002E-2</v>
      </c>
      <c r="H160" s="378">
        <v>7.2050160000000002E-2</v>
      </c>
      <c r="I160" s="189">
        <f t="shared" si="5"/>
        <v>0</v>
      </c>
      <c r="J160" s="35"/>
    </row>
    <row r="161" spans="1:10" x14ac:dyDescent="0.25">
      <c r="A161" s="21" t="s">
        <v>564</v>
      </c>
      <c r="B161" s="189">
        <v>9.6000000000000002E-5</v>
      </c>
      <c r="C161" s="189">
        <v>9.6000000000000002E-5</v>
      </c>
      <c r="D161" s="378">
        <f t="shared" si="4"/>
        <v>0</v>
      </c>
      <c r="E161" s="25"/>
      <c r="F161" s="21" t="s">
        <v>935</v>
      </c>
      <c r="G161" s="189">
        <v>9.9414884899999709</v>
      </c>
      <c r="H161" s="378">
        <v>9.9414884899999709</v>
      </c>
      <c r="I161" s="189">
        <f t="shared" si="5"/>
        <v>0</v>
      </c>
      <c r="J161" s="35"/>
    </row>
    <row r="162" spans="1:10" x14ac:dyDescent="0.25">
      <c r="A162" s="21" t="s">
        <v>562</v>
      </c>
      <c r="B162" s="189">
        <v>1.6397499999999999E-3</v>
      </c>
      <c r="C162" s="189">
        <v>1.6397499999999999E-3</v>
      </c>
      <c r="D162" s="378">
        <f t="shared" si="4"/>
        <v>0</v>
      </c>
      <c r="E162" s="25"/>
      <c r="F162" s="21" t="s">
        <v>589</v>
      </c>
      <c r="G162" s="189">
        <v>0.41312420999999999</v>
      </c>
      <c r="H162" s="378">
        <v>0.41312420999999999</v>
      </c>
      <c r="I162" s="189">
        <f t="shared" si="5"/>
        <v>0</v>
      </c>
      <c r="J162" s="35"/>
    </row>
    <row r="163" spans="1:10" x14ac:dyDescent="0.25">
      <c r="A163" s="21" t="s">
        <v>561</v>
      </c>
      <c r="B163" s="189">
        <v>3.8562300000000001E-2</v>
      </c>
      <c r="C163" s="189">
        <v>3.8562300000000001E-2</v>
      </c>
      <c r="D163" s="378">
        <f t="shared" si="4"/>
        <v>0</v>
      </c>
      <c r="E163" s="25"/>
      <c r="F163" s="21" t="s">
        <v>587</v>
      </c>
      <c r="G163" s="189">
        <v>1.5105299999999999E-3</v>
      </c>
      <c r="H163" s="378">
        <v>1.5105299999999999E-3</v>
      </c>
      <c r="I163" s="189">
        <f t="shared" si="5"/>
        <v>0</v>
      </c>
      <c r="J163" s="35"/>
    </row>
    <row r="164" spans="1:10" x14ac:dyDescent="0.25">
      <c r="A164" s="21" t="s">
        <v>514</v>
      </c>
      <c r="B164" s="189">
        <v>0.68810745999999834</v>
      </c>
      <c r="C164" s="189">
        <v>0.68810745999999845</v>
      </c>
      <c r="D164" s="378">
        <f t="shared" si="4"/>
        <v>0</v>
      </c>
      <c r="E164" s="25"/>
      <c r="F164" s="21" t="s">
        <v>586</v>
      </c>
      <c r="G164" s="189">
        <v>0.78092980000000012</v>
      </c>
      <c r="H164" s="378">
        <v>0.78092980000000012</v>
      </c>
      <c r="I164" s="189">
        <f t="shared" si="5"/>
        <v>0</v>
      </c>
      <c r="J164" s="35"/>
    </row>
    <row r="165" spans="1:10" x14ac:dyDescent="0.25">
      <c r="A165" s="21" t="s">
        <v>560</v>
      </c>
      <c r="B165" s="189">
        <v>6.5281801099999965</v>
      </c>
      <c r="C165" s="189">
        <v>6.5281801099999965</v>
      </c>
      <c r="D165" s="378">
        <f t="shared" si="4"/>
        <v>0</v>
      </c>
      <c r="E165" s="25"/>
      <c r="F165" s="21" t="s">
        <v>585</v>
      </c>
      <c r="G165" s="189">
        <v>7.1508999999999809E-3</v>
      </c>
      <c r="H165" s="378">
        <v>7.1508999999999809E-3</v>
      </c>
      <c r="I165" s="189">
        <f t="shared" si="5"/>
        <v>0</v>
      </c>
      <c r="J165" s="35"/>
    </row>
    <row r="166" spans="1:10" x14ac:dyDescent="0.25">
      <c r="A166" s="21" t="s">
        <v>484</v>
      </c>
      <c r="B166" s="189">
        <v>2.9171846799999974</v>
      </c>
      <c r="C166" s="189">
        <v>2.9171846799999983</v>
      </c>
      <c r="D166" s="378">
        <f t="shared" si="4"/>
        <v>0</v>
      </c>
      <c r="E166" s="25"/>
      <c r="F166" s="21" t="s">
        <v>584</v>
      </c>
      <c r="G166" s="189">
        <v>80.219863249999847</v>
      </c>
      <c r="H166" s="378">
        <v>80.219863249999833</v>
      </c>
      <c r="I166" s="189">
        <f t="shared" si="5"/>
        <v>0</v>
      </c>
      <c r="J166" s="35"/>
    </row>
    <row r="167" spans="1:10" x14ac:dyDescent="0.25">
      <c r="A167" s="21" t="s">
        <v>559</v>
      </c>
      <c r="B167" s="189">
        <v>2.2003583099999959</v>
      </c>
      <c r="C167" s="189">
        <v>2.2003583099999973</v>
      </c>
      <c r="D167" s="378">
        <f t="shared" si="4"/>
        <v>0</v>
      </c>
      <c r="E167" s="25"/>
      <c r="F167" s="21" t="s">
        <v>583</v>
      </c>
      <c r="G167" s="189">
        <v>55.375519209999894</v>
      </c>
      <c r="H167" s="378">
        <v>55.375519209999879</v>
      </c>
      <c r="I167" s="189">
        <f t="shared" si="5"/>
        <v>0</v>
      </c>
      <c r="J167" s="35"/>
    </row>
    <row r="168" spans="1:10" x14ac:dyDescent="0.25">
      <c r="A168" s="21" t="s">
        <v>558</v>
      </c>
      <c r="B168" s="189">
        <v>1.1490559499999999</v>
      </c>
      <c r="C168" s="189">
        <v>1.1490559500000002</v>
      </c>
      <c r="D168" s="378">
        <f t="shared" si="4"/>
        <v>0</v>
      </c>
      <c r="E168" s="25"/>
      <c r="F168" s="21" t="s">
        <v>515</v>
      </c>
      <c r="G168" s="189">
        <v>59.254811879999913</v>
      </c>
      <c r="H168" s="378">
        <v>59.254811879999899</v>
      </c>
      <c r="I168" s="189">
        <f t="shared" si="5"/>
        <v>0</v>
      </c>
      <c r="J168" s="35"/>
    </row>
    <row r="169" spans="1:10" x14ac:dyDescent="0.25">
      <c r="A169" s="21" t="s">
        <v>557</v>
      </c>
      <c r="B169" s="189">
        <v>0.46720693999999974</v>
      </c>
      <c r="C169" s="189">
        <v>0.46720693999999974</v>
      </c>
      <c r="D169" s="378">
        <f t="shared" si="4"/>
        <v>0</v>
      </c>
      <c r="E169" s="25"/>
      <c r="F169" s="21" t="s">
        <v>579</v>
      </c>
      <c r="G169" s="189">
        <v>29.375554299999948</v>
      </c>
      <c r="H169" s="378">
        <v>29.37555429999993</v>
      </c>
      <c r="I169" s="189">
        <f t="shared" si="5"/>
        <v>0</v>
      </c>
      <c r="J169" s="35"/>
    </row>
    <row r="170" spans="1:10" x14ac:dyDescent="0.25">
      <c r="A170" s="21" t="s">
        <v>556</v>
      </c>
      <c r="B170" s="189">
        <v>11.109544919999987</v>
      </c>
      <c r="C170" s="189">
        <v>11.109544919999987</v>
      </c>
      <c r="D170" s="378">
        <f t="shared" si="4"/>
        <v>0</v>
      </c>
      <c r="E170" s="25"/>
      <c r="F170" s="21" t="s">
        <v>578</v>
      </c>
      <c r="G170" s="189">
        <v>1.850228159999999</v>
      </c>
      <c r="H170" s="378">
        <v>1.850228159999999</v>
      </c>
      <c r="I170" s="189">
        <f t="shared" si="5"/>
        <v>0</v>
      </c>
      <c r="J170" s="35"/>
    </row>
    <row r="171" spans="1:10" x14ac:dyDescent="0.25">
      <c r="A171" s="21" t="s">
        <v>555</v>
      </c>
      <c r="B171" s="189">
        <v>6.0508237799999982</v>
      </c>
      <c r="C171" s="189">
        <v>6.0508237799999982</v>
      </c>
      <c r="D171" s="378">
        <f t="shared" si="4"/>
        <v>0</v>
      </c>
      <c r="E171" s="25"/>
      <c r="F171" s="21" t="s">
        <v>577</v>
      </c>
      <c r="G171" s="189">
        <v>1.808044379999999</v>
      </c>
      <c r="H171" s="378">
        <v>1.8080443799999988</v>
      </c>
      <c r="I171" s="189">
        <f t="shared" si="5"/>
        <v>0</v>
      </c>
      <c r="J171" s="35"/>
    </row>
    <row r="172" spans="1:10" x14ac:dyDescent="0.25">
      <c r="A172" s="21" t="s">
        <v>554</v>
      </c>
      <c r="B172" s="189">
        <v>0.14521795999999987</v>
      </c>
      <c r="C172" s="189">
        <v>0.14521795999999987</v>
      </c>
      <c r="D172" s="378">
        <f t="shared" si="4"/>
        <v>0</v>
      </c>
      <c r="E172" s="25"/>
      <c r="F172" s="21" t="s">
        <v>576</v>
      </c>
      <c r="G172" s="189">
        <v>61.249473009999917</v>
      </c>
      <c r="H172" s="378">
        <v>61.249473009999889</v>
      </c>
      <c r="I172" s="189">
        <f t="shared" si="5"/>
        <v>0</v>
      </c>
      <c r="J172" s="35"/>
    </row>
    <row r="173" spans="1:10" x14ac:dyDescent="0.25">
      <c r="A173" s="21" t="s">
        <v>563</v>
      </c>
      <c r="B173" s="189">
        <v>0.13032247999999999</v>
      </c>
      <c r="C173" s="189">
        <v>0.13032247999999991</v>
      </c>
      <c r="D173" s="378">
        <f t="shared" si="4"/>
        <v>0</v>
      </c>
      <c r="E173" s="25"/>
      <c r="F173" s="21" t="s">
        <v>575</v>
      </c>
      <c r="G173" s="189">
        <v>0.71872680999999894</v>
      </c>
      <c r="H173" s="378">
        <v>0.71872680999999894</v>
      </c>
      <c r="I173" s="189">
        <f t="shared" si="5"/>
        <v>0</v>
      </c>
      <c r="J173" s="35"/>
    </row>
    <row r="174" spans="1:10" x14ac:dyDescent="0.25">
      <c r="A174" s="21" t="s">
        <v>553</v>
      </c>
      <c r="B174" s="189">
        <v>0.81733341999999998</v>
      </c>
      <c r="C174" s="189">
        <v>0.81733341999999953</v>
      </c>
      <c r="D174" s="378">
        <f t="shared" si="4"/>
        <v>0</v>
      </c>
      <c r="E174" s="25"/>
      <c r="F174" s="21" t="s">
        <v>574</v>
      </c>
      <c r="G174" s="189">
        <v>74.205141539999957</v>
      </c>
      <c r="H174" s="378">
        <v>74.205141539999943</v>
      </c>
      <c r="I174" s="189">
        <f t="shared" si="5"/>
        <v>0</v>
      </c>
      <c r="J174" s="35"/>
    </row>
    <row r="175" spans="1:10" x14ac:dyDescent="0.25">
      <c r="A175" s="21" t="s">
        <v>552</v>
      </c>
      <c r="B175" s="189">
        <v>1.2543536399999982</v>
      </c>
      <c r="C175" s="189">
        <v>1.2543536399999982</v>
      </c>
      <c r="D175" s="378">
        <f t="shared" si="4"/>
        <v>0</v>
      </c>
      <c r="E175" s="25"/>
      <c r="F175" s="21" t="s">
        <v>573</v>
      </c>
      <c r="G175" s="189">
        <v>9.221430539999993</v>
      </c>
      <c r="H175" s="378">
        <v>9.2214305399999912</v>
      </c>
      <c r="I175" s="189">
        <f t="shared" si="5"/>
        <v>0</v>
      </c>
      <c r="J175" s="35"/>
    </row>
    <row r="176" spans="1:10" x14ac:dyDescent="0.25">
      <c r="A176" s="21" t="s">
        <v>551</v>
      </c>
      <c r="B176" s="189">
        <v>0.39384040999999992</v>
      </c>
      <c r="C176" s="189">
        <v>0.39384040999999997</v>
      </c>
      <c r="D176" s="378">
        <f t="shared" si="4"/>
        <v>0</v>
      </c>
      <c r="E176" s="25"/>
      <c r="F176" s="21" t="s">
        <v>572</v>
      </c>
      <c r="G176" s="189">
        <v>76.156120929999886</v>
      </c>
      <c r="H176" s="378">
        <v>76.156120929999986</v>
      </c>
      <c r="I176" s="189">
        <f t="shared" si="5"/>
        <v>0</v>
      </c>
      <c r="J176" s="35"/>
    </row>
    <row r="177" spans="1:10" x14ac:dyDescent="0.25">
      <c r="A177" s="21" t="s">
        <v>550</v>
      </c>
      <c r="B177" s="189">
        <v>2.8080000000000002E-3</v>
      </c>
      <c r="C177" s="189">
        <v>2.8080000000000002E-3</v>
      </c>
      <c r="D177" s="378">
        <f t="shared" si="4"/>
        <v>0</v>
      </c>
      <c r="E177" s="25"/>
      <c r="F177" s="21" t="s">
        <v>570</v>
      </c>
      <c r="G177" s="189">
        <v>293.51871366999984</v>
      </c>
      <c r="H177" s="378">
        <v>293.5187136699999</v>
      </c>
      <c r="I177" s="189">
        <f t="shared" si="5"/>
        <v>0</v>
      </c>
      <c r="J177" s="35"/>
    </row>
    <row r="178" spans="1:10" x14ac:dyDescent="0.25">
      <c r="A178" s="21" t="s">
        <v>549</v>
      </c>
      <c r="B178" s="189">
        <v>1.0759480000000002E-2</v>
      </c>
      <c r="C178" s="189">
        <v>1.0759480000000002E-2</v>
      </c>
      <c r="D178" s="378">
        <f t="shared" si="4"/>
        <v>0</v>
      </c>
      <c r="E178" s="25"/>
      <c r="F178" s="21" t="s">
        <v>568</v>
      </c>
      <c r="G178" s="189">
        <v>3.4448195099999968</v>
      </c>
      <c r="H178" s="378">
        <v>3.4448195099999968</v>
      </c>
      <c r="I178" s="189">
        <f t="shared" si="5"/>
        <v>0</v>
      </c>
      <c r="J178" s="35"/>
    </row>
    <row r="179" spans="1:10" x14ac:dyDescent="0.25">
      <c r="A179" s="21" t="s">
        <v>500</v>
      </c>
      <c r="B179" s="189">
        <v>2.3044665599999981</v>
      </c>
      <c r="C179" s="189">
        <v>2.3044665599999989</v>
      </c>
      <c r="D179" s="378">
        <f t="shared" si="4"/>
        <v>0</v>
      </c>
      <c r="E179" s="25"/>
      <c r="F179" s="21" t="s">
        <v>567</v>
      </c>
      <c r="G179" s="189">
        <v>9.0220494799999873</v>
      </c>
      <c r="H179" s="378">
        <v>9.0220494799999873</v>
      </c>
      <c r="I179" s="189">
        <f t="shared" si="5"/>
        <v>0</v>
      </c>
      <c r="J179" s="35"/>
    </row>
    <row r="180" spans="1:10" x14ac:dyDescent="0.25">
      <c r="A180" s="21" t="s">
        <v>548</v>
      </c>
      <c r="B180" s="189">
        <v>1.1456854099999998</v>
      </c>
      <c r="C180" s="189">
        <v>1.1456854099999998</v>
      </c>
      <c r="D180" s="378">
        <f t="shared" si="4"/>
        <v>0</v>
      </c>
      <c r="E180" s="25"/>
      <c r="F180" s="21" t="s">
        <v>566</v>
      </c>
      <c r="G180" s="189">
        <v>62.792987629999963</v>
      </c>
      <c r="H180" s="378">
        <v>62.792987629999963</v>
      </c>
      <c r="I180" s="189">
        <f t="shared" si="5"/>
        <v>0</v>
      </c>
      <c r="J180" s="35"/>
    </row>
    <row r="181" spans="1:10" x14ac:dyDescent="0.25">
      <c r="A181" s="21" t="s">
        <v>547</v>
      </c>
      <c r="B181" s="189">
        <v>9.6200461999999867</v>
      </c>
      <c r="C181" s="189">
        <v>9.6200461999999867</v>
      </c>
      <c r="D181" s="378">
        <f t="shared" si="4"/>
        <v>0</v>
      </c>
      <c r="E181" s="25"/>
      <c r="F181" s="21" t="s">
        <v>565</v>
      </c>
      <c r="G181" s="189">
        <v>157.56593834999987</v>
      </c>
      <c r="H181" s="378">
        <v>157.5659383499999</v>
      </c>
      <c r="I181" s="189">
        <f t="shared" si="5"/>
        <v>0</v>
      </c>
      <c r="J181" s="35"/>
    </row>
    <row r="182" spans="1:10" x14ac:dyDescent="0.25">
      <c r="A182" s="21" t="s">
        <v>546</v>
      </c>
      <c r="B182" s="189">
        <v>2.8332798199999996</v>
      </c>
      <c r="C182" s="189">
        <v>2.8332798199999987</v>
      </c>
      <c r="D182" s="378">
        <f t="shared" si="4"/>
        <v>0</v>
      </c>
      <c r="E182" s="25"/>
      <c r="F182" s="21" t="s">
        <v>486</v>
      </c>
      <c r="G182" s="189">
        <v>2.510576199999996</v>
      </c>
      <c r="H182" s="378">
        <v>2.5105761999999943</v>
      </c>
      <c r="I182" s="189">
        <f t="shared" si="5"/>
        <v>0</v>
      </c>
      <c r="J182" s="35"/>
    </row>
    <row r="183" spans="1:10" x14ac:dyDescent="0.25">
      <c r="A183" s="21" t="s">
        <v>545</v>
      </c>
      <c r="B183" s="189">
        <v>0.75624100000000005</v>
      </c>
      <c r="C183" s="189">
        <v>0.75624100000000005</v>
      </c>
      <c r="D183" s="378">
        <f t="shared" si="4"/>
        <v>0</v>
      </c>
      <c r="E183" s="25"/>
      <c r="F183" s="21" t="s">
        <v>564</v>
      </c>
      <c r="G183" s="189">
        <v>3.4195680799999901</v>
      </c>
      <c r="H183" s="378">
        <v>3.4195680799999901</v>
      </c>
      <c r="I183" s="189">
        <f t="shared" si="5"/>
        <v>0</v>
      </c>
      <c r="J183" s="35"/>
    </row>
    <row r="184" spans="1:10" x14ac:dyDescent="0.25">
      <c r="A184" s="21" t="s">
        <v>543</v>
      </c>
      <c r="B184" s="189">
        <v>43.525959389999883</v>
      </c>
      <c r="C184" s="189">
        <v>43.52595938999989</v>
      </c>
      <c r="D184" s="378">
        <f t="shared" si="4"/>
        <v>0</v>
      </c>
      <c r="E184" s="25"/>
      <c r="F184" s="21" t="s">
        <v>562</v>
      </c>
      <c r="G184" s="189">
        <v>1.6301930399999971</v>
      </c>
      <c r="H184" s="378">
        <v>1.6301930399999982</v>
      </c>
      <c r="I184" s="189">
        <f t="shared" si="5"/>
        <v>0</v>
      </c>
      <c r="J184" s="35"/>
    </row>
    <row r="185" spans="1:10" x14ac:dyDescent="0.25">
      <c r="A185" s="21" t="s">
        <v>542</v>
      </c>
      <c r="B185" s="189">
        <v>1.8598628100000001</v>
      </c>
      <c r="C185" s="189">
        <v>1.8598628099999994</v>
      </c>
      <c r="D185" s="378">
        <f t="shared" si="4"/>
        <v>0</v>
      </c>
      <c r="E185" s="25"/>
      <c r="F185" s="21" t="s">
        <v>561</v>
      </c>
      <c r="G185" s="189">
        <v>7.5444862799999965</v>
      </c>
      <c r="H185" s="378">
        <v>7.544486279999993</v>
      </c>
      <c r="I185" s="189">
        <f t="shared" si="5"/>
        <v>0</v>
      </c>
      <c r="J185" s="35"/>
    </row>
    <row r="186" spans="1:10" x14ac:dyDescent="0.25">
      <c r="A186" s="21" t="s">
        <v>541</v>
      </c>
      <c r="B186" s="189">
        <v>1.7230562900000002</v>
      </c>
      <c r="C186" s="189">
        <v>1.7230562900000002</v>
      </c>
      <c r="D186" s="378">
        <f t="shared" si="4"/>
        <v>0</v>
      </c>
      <c r="E186" s="25"/>
      <c r="F186" s="21" t="s">
        <v>514</v>
      </c>
      <c r="G186" s="189">
        <v>67.739375759999902</v>
      </c>
      <c r="H186" s="378">
        <v>67.739375759999874</v>
      </c>
      <c r="I186" s="189">
        <f t="shared" si="5"/>
        <v>0</v>
      </c>
      <c r="J186" s="35"/>
    </row>
    <row r="187" spans="1:10" x14ac:dyDescent="0.25">
      <c r="A187" s="21" t="s">
        <v>540</v>
      </c>
      <c r="B187" s="189">
        <v>21.8914861999999</v>
      </c>
      <c r="C187" s="189">
        <v>21.891486199999896</v>
      </c>
      <c r="D187" s="378">
        <f t="shared" si="4"/>
        <v>0</v>
      </c>
      <c r="E187" s="25"/>
      <c r="F187" s="21" t="s">
        <v>560</v>
      </c>
      <c r="G187" s="189">
        <v>98.922632179999866</v>
      </c>
      <c r="H187" s="378">
        <v>98.922632179999908</v>
      </c>
      <c r="I187" s="189">
        <f t="shared" si="5"/>
        <v>0</v>
      </c>
      <c r="J187" s="35"/>
    </row>
    <row r="188" spans="1:10" x14ac:dyDescent="0.25">
      <c r="A188" s="21" t="s">
        <v>488</v>
      </c>
      <c r="B188" s="189">
        <v>2.4995504699999973</v>
      </c>
      <c r="C188" s="189">
        <v>2.4995504699999986</v>
      </c>
      <c r="D188" s="378">
        <f t="shared" si="4"/>
        <v>0</v>
      </c>
      <c r="E188" s="25"/>
      <c r="F188" s="21" t="s">
        <v>557</v>
      </c>
      <c r="G188" s="189">
        <v>28.950569129999941</v>
      </c>
      <c r="H188" s="378">
        <v>28.950569129999952</v>
      </c>
      <c r="I188" s="189">
        <f t="shared" si="5"/>
        <v>0</v>
      </c>
      <c r="J188" s="35"/>
    </row>
    <row r="189" spans="1:10" x14ac:dyDescent="0.25">
      <c r="A189" s="21" t="s">
        <v>538</v>
      </c>
      <c r="B189" s="189">
        <v>0.33767320000000001</v>
      </c>
      <c r="C189" s="189">
        <v>0.33767320000000001</v>
      </c>
      <c r="D189" s="378">
        <f t="shared" si="4"/>
        <v>0</v>
      </c>
      <c r="E189" s="25"/>
      <c r="F189" s="21" t="s">
        <v>555</v>
      </c>
      <c r="G189" s="189">
        <v>92.84696722999989</v>
      </c>
      <c r="H189" s="378">
        <v>92.84696722999999</v>
      </c>
      <c r="I189" s="189">
        <f t="shared" si="5"/>
        <v>0</v>
      </c>
      <c r="J189" s="35"/>
    </row>
    <row r="190" spans="1:10" x14ac:dyDescent="0.25">
      <c r="A190" s="21" t="s">
        <v>537</v>
      </c>
      <c r="B190" s="189">
        <v>0.52826202999999994</v>
      </c>
      <c r="C190" s="189">
        <v>0.52826202999999983</v>
      </c>
      <c r="D190" s="378">
        <f t="shared" si="4"/>
        <v>0</v>
      </c>
      <c r="E190" s="25"/>
      <c r="F190" s="21" t="s">
        <v>554</v>
      </c>
      <c r="G190" s="189">
        <v>14.549129269999987</v>
      </c>
      <c r="H190" s="378">
        <v>14.549129269999987</v>
      </c>
      <c r="I190" s="189">
        <f t="shared" si="5"/>
        <v>0</v>
      </c>
      <c r="J190" s="35"/>
    </row>
    <row r="191" spans="1:10" x14ac:dyDescent="0.25">
      <c r="A191" s="21" t="s">
        <v>536</v>
      </c>
      <c r="B191" s="189">
        <v>3.0000000000000001E-3</v>
      </c>
      <c r="C191" s="189">
        <v>3.0000000000000001E-3</v>
      </c>
      <c r="D191" s="378">
        <f t="shared" si="4"/>
        <v>0</v>
      </c>
      <c r="E191" s="25"/>
      <c r="F191" s="21" t="s">
        <v>563</v>
      </c>
      <c r="G191" s="189">
        <v>63.920726409999851</v>
      </c>
      <c r="H191" s="378">
        <v>63.920726409999858</v>
      </c>
      <c r="I191" s="189">
        <f t="shared" si="5"/>
        <v>0</v>
      </c>
      <c r="J191" s="35"/>
    </row>
    <row r="192" spans="1:10" x14ac:dyDescent="0.25">
      <c r="A192" s="21" t="s">
        <v>535</v>
      </c>
      <c r="B192" s="189">
        <v>0.84439925000000005</v>
      </c>
      <c r="C192" s="189">
        <v>0.84439925000000005</v>
      </c>
      <c r="D192" s="378">
        <f t="shared" si="4"/>
        <v>0</v>
      </c>
      <c r="E192" s="25"/>
      <c r="F192" s="21" t="s">
        <v>551</v>
      </c>
      <c r="G192" s="189">
        <v>38.234848129999897</v>
      </c>
      <c r="H192" s="378">
        <v>38.234848129999889</v>
      </c>
      <c r="I192" s="189">
        <f t="shared" si="5"/>
        <v>0</v>
      </c>
      <c r="J192" s="35"/>
    </row>
    <row r="193" spans="1:10" x14ac:dyDescent="0.25">
      <c r="A193" s="21" t="s">
        <v>534</v>
      </c>
      <c r="B193" s="189">
        <v>8.8066776699999902</v>
      </c>
      <c r="C193" s="189">
        <v>8.806677669999992</v>
      </c>
      <c r="D193" s="378">
        <f t="shared" si="4"/>
        <v>0</v>
      </c>
      <c r="E193" s="25"/>
      <c r="F193" s="21" t="s">
        <v>550</v>
      </c>
      <c r="G193" s="189">
        <v>1.7471252799999961</v>
      </c>
      <c r="H193" s="378">
        <v>1.7471252799999959</v>
      </c>
      <c r="I193" s="189">
        <f t="shared" si="5"/>
        <v>0</v>
      </c>
      <c r="J193" s="35"/>
    </row>
    <row r="194" spans="1:10" x14ac:dyDescent="0.25">
      <c r="A194" s="21" t="s">
        <v>532</v>
      </c>
      <c r="B194" s="189">
        <v>0.15556976</v>
      </c>
      <c r="C194" s="189">
        <v>0.15556976</v>
      </c>
      <c r="D194" s="378">
        <f t="shared" si="4"/>
        <v>0</v>
      </c>
      <c r="E194" s="25"/>
      <c r="F194" s="21" t="s">
        <v>549</v>
      </c>
      <c r="G194" s="189">
        <v>1.7059561899999964</v>
      </c>
      <c r="H194" s="378">
        <v>1.7059561899999964</v>
      </c>
      <c r="I194" s="189">
        <f t="shared" si="5"/>
        <v>0</v>
      </c>
      <c r="J194" s="35"/>
    </row>
    <row r="195" spans="1:10" x14ac:dyDescent="0.25">
      <c r="A195" s="21" t="s">
        <v>530</v>
      </c>
      <c r="B195" s="189">
        <v>9.7692269999999901E-2</v>
      </c>
      <c r="C195" s="189">
        <v>9.7692269999999998E-2</v>
      </c>
      <c r="D195" s="378">
        <f t="shared" si="4"/>
        <v>0</v>
      </c>
      <c r="E195" s="25"/>
      <c r="F195" s="21" t="s">
        <v>546</v>
      </c>
      <c r="G195" s="189">
        <v>71.812907369999792</v>
      </c>
      <c r="H195" s="378">
        <v>71.812907369999792</v>
      </c>
      <c r="I195" s="189">
        <f t="shared" si="5"/>
        <v>0</v>
      </c>
      <c r="J195" s="35"/>
    </row>
    <row r="196" spans="1:10" x14ac:dyDescent="0.25">
      <c r="A196" s="21" t="s">
        <v>528</v>
      </c>
      <c r="B196" s="189">
        <v>0.49978077999999987</v>
      </c>
      <c r="C196" s="189">
        <v>0.49978077999999992</v>
      </c>
      <c r="D196" s="378">
        <f t="shared" si="4"/>
        <v>0</v>
      </c>
      <c r="E196" s="25"/>
      <c r="F196" s="21" t="s">
        <v>545</v>
      </c>
      <c r="G196" s="189">
        <v>14.505299459999971</v>
      </c>
      <c r="H196" s="378">
        <v>14.505299459999971</v>
      </c>
      <c r="I196" s="189">
        <f t="shared" si="5"/>
        <v>0</v>
      </c>
      <c r="J196" s="35"/>
    </row>
    <row r="197" spans="1:10" x14ac:dyDescent="0.25">
      <c r="A197" s="21" t="s">
        <v>527</v>
      </c>
      <c r="B197" s="189">
        <v>7.2382805799999987</v>
      </c>
      <c r="C197" s="189">
        <v>7.2382805799999925</v>
      </c>
      <c r="D197" s="378">
        <f t="shared" si="4"/>
        <v>0</v>
      </c>
      <c r="E197" s="25"/>
      <c r="F197" s="21" t="s">
        <v>543</v>
      </c>
      <c r="G197" s="189">
        <v>152.65231538999984</v>
      </c>
      <c r="H197" s="378">
        <v>152.65231538999984</v>
      </c>
      <c r="I197" s="189">
        <f t="shared" si="5"/>
        <v>0</v>
      </c>
      <c r="J197" s="35"/>
    </row>
    <row r="198" spans="1:10" x14ac:dyDescent="0.25">
      <c r="A198" s="21" t="s">
        <v>510</v>
      </c>
      <c r="B198" s="189">
        <v>0.23756448999999988</v>
      </c>
      <c r="C198" s="189">
        <v>0.23756448999999988</v>
      </c>
      <c r="D198" s="378">
        <f t="shared" si="4"/>
        <v>0</v>
      </c>
      <c r="E198" s="25"/>
      <c r="F198" s="21" t="s">
        <v>540</v>
      </c>
      <c r="G198" s="189">
        <v>526.73712215999956</v>
      </c>
      <c r="H198" s="378">
        <v>526.73712215999944</v>
      </c>
      <c r="I198" s="189">
        <f t="shared" si="5"/>
        <v>0</v>
      </c>
      <c r="J198" s="35"/>
    </row>
    <row r="199" spans="1:10" x14ac:dyDescent="0.25">
      <c r="A199" s="21" t="s">
        <v>517</v>
      </c>
      <c r="B199" s="189">
        <v>0.15273023999999988</v>
      </c>
      <c r="C199" s="189">
        <v>0.15273023999999985</v>
      </c>
      <c r="D199" s="378">
        <f t="shared" si="4"/>
        <v>0</v>
      </c>
      <c r="E199" s="25"/>
      <c r="F199" s="21" t="s">
        <v>539</v>
      </c>
      <c r="G199" s="189">
        <v>49.374545179999998</v>
      </c>
      <c r="H199" s="378">
        <v>49.374545179999998</v>
      </c>
      <c r="I199" s="189">
        <f t="shared" si="5"/>
        <v>0</v>
      </c>
      <c r="J199" s="35"/>
    </row>
    <row r="200" spans="1:10" x14ac:dyDescent="0.25">
      <c r="A200" s="21" t="s">
        <v>523</v>
      </c>
      <c r="B200" s="189">
        <v>3.8769269999999988E-2</v>
      </c>
      <c r="C200" s="189">
        <v>3.8769269999999995E-2</v>
      </c>
      <c r="D200" s="378">
        <f t="shared" si="4"/>
        <v>0</v>
      </c>
      <c r="E200" s="25"/>
      <c r="F200" s="21" t="s">
        <v>537</v>
      </c>
      <c r="G200" s="189">
        <v>76.955779039999868</v>
      </c>
      <c r="H200" s="378">
        <v>76.955779039999825</v>
      </c>
      <c r="I200" s="189">
        <f t="shared" si="5"/>
        <v>0</v>
      </c>
      <c r="J200" s="35"/>
    </row>
    <row r="201" spans="1:10" x14ac:dyDescent="0.25">
      <c r="A201" s="21" t="s">
        <v>522</v>
      </c>
      <c r="B201" s="189">
        <v>0.15023889999999998</v>
      </c>
      <c r="C201" s="189">
        <v>0.15023889999999998</v>
      </c>
      <c r="D201" s="378">
        <f t="shared" si="4"/>
        <v>0</v>
      </c>
      <c r="E201" s="25"/>
      <c r="F201" s="21" t="s">
        <v>536</v>
      </c>
      <c r="G201" s="189">
        <v>5.5801757299999988</v>
      </c>
      <c r="H201" s="378">
        <v>5.5801757299999997</v>
      </c>
      <c r="I201" s="189">
        <f t="shared" si="5"/>
        <v>0</v>
      </c>
      <c r="J201" s="35"/>
    </row>
    <row r="202" spans="1:10" x14ac:dyDescent="0.25">
      <c r="A202" s="21" t="s">
        <v>520</v>
      </c>
      <c r="B202" s="189">
        <v>2.42168E-2</v>
      </c>
      <c r="C202" s="189">
        <v>2.4216800000000004E-2</v>
      </c>
      <c r="D202" s="378">
        <f t="shared" si="4"/>
        <v>0</v>
      </c>
      <c r="E202" s="25"/>
      <c r="F202" s="21" t="s">
        <v>534</v>
      </c>
      <c r="G202" s="189">
        <v>37.906911899999997</v>
      </c>
      <c r="H202" s="378">
        <v>37.906911899999997</v>
      </c>
      <c r="I202" s="189">
        <f t="shared" si="5"/>
        <v>0</v>
      </c>
      <c r="J202" s="35"/>
    </row>
    <row r="203" spans="1:10" x14ac:dyDescent="0.25">
      <c r="A203" s="21" t="s">
        <v>518</v>
      </c>
      <c r="B203" s="189">
        <v>0.26965650999999985</v>
      </c>
      <c r="C203" s="189">
        <v>0.26965650999999985</v>
      </c>
      <c r="D203" s="378">
        <f t="shared" ref="D203:D229" si="6">C203-B203</f>
        <v>0</v>
      </c>
      <c r="E203" s="25"/>
      <c r="F203" s="21" t="s">
        <v>532</v>
      </c>
      <c r="G203" s="189">
        <v>0.5942991299999989</v>
      </c>
      <c r="H203" s="378">
        <v>0.5942991299999989</v>
      </c>
      <c r="I203" s="189">
        <f t="shared" ref="I203:I257" si="7">H203-G203</f>
        <v>0</v>
      </c>
      <c r="J203" s="35"/>
    </row>
    <row r="204" spans="1:10" x14ac:dyDescent="0.25">
      <c r="A204" s="21" t="s">
        <v>516</v>
      </c>
      <c r="B204" s="189">
        <v>0.31307500999999993</v>
      </c>
      <c r="C204" s="189">
        <v>0.31307500999999988</v>
      </c>
      <c r="D204" s="378">
        <f t="shared" si="6"/>
        <v>0</v>
      </c>
      <c r="E204" s="25"/>
      <c r="F204" s="21" t="s">
        <v>530</v>
      </c>
      <c r="G204" s="189">
        <v>7.4262061899999887</v>
      </c>
      <c r="H204" s="378">
        <v>7.4262061899999896</v>
      </c>
      <c r="I204" s="189">
        <f t="shared" si="7"/>
        <v>0</v>
      </c>
      <c r="J204" s="35"/>
    </row>
    <row r="205" spans="1:10" x14ac:dyDescent="0.25">
      <c r="A205" s="21" t="s">
        <v>502</v>
      </c>
      <c r="B205" s="189">
        <v>0.33061505999999996</v>
      </c>
      <c r="C205" s="189">
        <v>0.33061505999999996</v>
      </c>
      <c r="D205" s="378">
        <f t="shared" si="6"/>
        <v>0</v>
      </c>
      <c r="E205" s="25"/>
      <c r="F205" s="21" t="s">
        <v>528</v>
      </c>
      <c r="G205" s="189">
        <v>27.555813159999961</v>
      </c>
      <c r="H205" s="378">
        <v>27.555813159999975</v>
      </c>
      <c r="I205" s="189">
        <f t="shared" si="7"/>
        <v>0</v>
      </c>
      <c r="J205" s="35"/>
    </row>
    <row r="206" spans="1:10" x14ac:dyDescent="0.25">
      <c r="A206" s="21" t="s">
        <v>496</v>
      </c>
      <c r="B206" s="189">
        <v>9.395292999999999E-2</v>
      </c>
      <c r="C206" s="189">
        <v>9.3952929999999976E-2</v>
      </c>
      <c r="D206" s="378">
        <f t="shared" si="6"/>
        <v>0</v>
      </c>
      <c r="E206" s="25"/>
      <c r="F206" s="21" t="s">
        <v>523</v>
      </c>
      <c r="G206" s="189">
        <v>76.76575275999987</v>
      </c>
      <c r="H206" s="378">
        <v>76.765752759999842</v>
      </c>
      <c r="I206" s="189">
        <f t="shared" si="7"/>
        <v>0</v>
      </c>
      <c r="J206" s="35"/>
    </row>
    <row r="207" spans="1:10" x14ac:dyDescent="0.25">
      <c r="A207" s="21" t="s">
        <v>513</v>
      </c>
      <c r="B207" s="189">
        <v>3.13042999999999E-3</v>
      </c>
      <c r="C207" s="189">
        <v>3.13042999999999E-3</v>
      </c>
      <c r="D207" s="378">
        <f t="shared" si="6"/>
        <v>0</v>
      </c>
      <c r="E207" s="25"/>
      <c r="F207" s="21" t="s">
        <v>522</v>
      </c>
      <c r="G207" s="189">
        <v>45.175617239999951</v>
      </c>
      <c r="H207" s="378">
        <v>45.17561723999998</v>
      </c>
      <c r="I207" s="189">
        <f t="shared" si="7"/>
        <v>0</v>
      </c>
      <c r="J207" s="35"/>
    </row>
    <row r="208" spans="1:10" x14ac:dyDescent="0.25">
      <c r="A208" s="21" t="s">
        <v>511</v>
      </c>
      <c r="B208" s="189">
        <v>3.5941572199999983</v>
      </c>
      <c r="C208" s="189">
        <v>3.5941572199999969</v>
      </c>
      <c r="D208" s="378">
        <f t="shared" si="6"/>
        <v>0</v>
      </c>
      <c r="E208" s="25"/>
      <c r="F208" s="21" t="s">
        <v>520</v>
      </c>
      <c r="G208" s="189">
        <v>37.303889729999938</v>
      </c>
      <c r="H208" s="378">
        <v>37.303889729999938</v>
      </c>
      <c r="I208" s="189">
        <f t="shared" si="7"/>
        <v>0</v>
      </c>
      <c r="J208" s="35"/>
    </row>
    <row r="209" spans="1:10" x14ac:dyDescent="0.25">
      <c r="A209" s="21" t="s">
        <v>509</v>
      </c>
      <c r="B209" s="189">
        <v>6.1464999999999999E-2</v>
      </c>
      <c r="C209" s="189">
        <v>6.1464999999999999E-2</v>
      </c>
      <c r="D209" s="378">
        <f t="shared" si="6"/>
        <v>0</v>
      </c>
      <c r="E209" s="25"/>
      <c r="F209" s="21" t="s">
        <v>516</v>
      </c>
      <c r="G209" s="189">
        <v>19.286773509999971</v>
      </c>
      <c r="H209" s="378">
        <v>19.286773509999975</v>
      </c>
      <c r="I209" s="189">
        <f t="shared" si="7"/>
        <v>0</v>
      </c>
      <c r="J209" s="35"/>
    </row>
    <row r="210" spans="1:10" x14ac:dyDescent="0.25">
      <c r="A210" s="21" t="s">
        <v>498</v>
      </c>
      <c r="B210" s="189">
        <v>8.9868746899999916</v>
      </c>
      <c r="C210" s="189">
        <v>8.9868746899999934</v>
      </c>
      <c r="D210" s="378">
        <f t="shared" si="6"/>
        <v>0</v>
      </c>
      <c r="E210" s="25"/>
      <c r="F210" s="21" t="s">
        <v>496</v>
      </c>
      <c r="G210" s="189">
        <v>68.883237599999831</v>
      </c>
      <c r="H210" s="378">
        <v>68.883237599999816</v>
      </c>
      <c r="I210" s="189">
        <f t="shared" si="7"/>
        <v>0</v>
      </c>
      <c r="J210" s="35"/>
    </row>
    <row r="211" spans="1:10" x14ac:dyDescent="0.25">
      <c r="A211" s="21" t="s">
        <v>507</v>
      </c>
      <c r="B211" s="189">
        <v>7.8288100000000003E-3</v>
      </c>
      <c r="C211" s="189">
        <v>7.8288100000000003E-3</v>
      </c>
      <c r="D211" s="378">
        <f t="shared" si="6"/>
        <v>0</v>
      </c>
      <c r="E211" s="25"/>
      <c r="F211" s="21" t="s">
        <v>513</v>
      </c>
      <c r="G211" s="189">
        <v>5.307817209999997</v>
      </c>
      <c r="H211" s="378">
        <v>5.307817209999997</v>
      </c>
      <c r="I211" s="189">
        <f t="shared" si="7"/>
        <v>0</v>
      </c>
      <c r="J211" s="35"/>
    </row>
    <row r="212" spans="1:10" x14ac:dyDescent="0.25">
      <c r="A212" s="21" t="s">
        <v>503</v>
      </c>
      <c r="B212" s="189">
        <v>0.11083990999999999</v>
      </c>
      <c r="C212" s="189">
        <v>0.11083990999999999</v>
      </c>
      <c r="D212" s="378">
        <f t="shared" si="6"/>
        <v>0</v>
      </c>
      <c r="E212" s="25"/>
      <c r="F212" s="21" t="s">
        <v>509</v>
      </c>
      <c r="G212" s="189">
        <v>6.0024000299999827</v>
      </c>
      <c r="H212" s="378">
        <v>6.0024000299999862</v>
      </c>
      <c r="I212" s="189">
        <f t="shared" si="7"/>
        <v>0</v>
      </c>
      <c r="J212" s="35"/>
    </row>
    <row r="213" spans="1:10" x14ac:dyDescent="0.25">
      <c r="A213" s="21" t="s">
        <v>501</v>
      </c>
      <c r="B213" s="189">
        <v>0.19325539000000003</v>
      </c>
      <c r="C213" s="189">
        <v>0.19325539000000003</v>
      </c>
      <c r="D213" s="378">
        <f t="shared" si="6"/>
        <v>0</v>
      </c>
      <c r="E213" s="25"/>
      <c r="F213" s="21" t="s">
        <v>507</v>
      </c>
      <c r="G213" s="189">
        <v>2.777778949999997</v>
      </c>
      <c r="H213" s="378">
        <v>2.7777789499999961</v>
      </c>
      <c r="I213" s="189">
        <f t="shared" si="7"/>
        <v>0</v>
      </c>
      <c r="J213" s="35"/>
    </row>
    <row r="214" spans="1:10" x14ac:dyDescent="0.25">
      <c r="A214" s="21" t="s">
        <v>497</v>
      </c>
      <c r="B214" s="189">
        <v>1.0866231400000002</v>
      </c>
      <c r="C214" s="189">
        <v>1.0866231399999995</v>
      </c>
      <c r="D214" s="378">
        <f t="shared" si="6"/>
        <v>0</v>
      </c>
      <c r="E214" s="25"/>
      <c r="F214" s="21" t="s">
        <v>505</v>
      </c>
      <c r="G214" s="189">
        <v>3.4105639199999973</v>
      </c>
      <c r="H214" s="378">
        <v>3.4105639199999973</v>
      </c>
      <c r="I214" s="189">
        <f t="shared" si="7"/>
        <v>0</v>
      </c>
      <c r="J214" s="35"/>
    </row>
    <row r="215" spans="1:10" x14ac:dyDescent="0.25">
      <c r="A215" s="21" t="s">
        <v>495</v>
      </c>
      <c r="B215" s="189">
        <v>18.463829009999994</v>
      </c>
      <c r="C215" s="189">
        <v>18.463829009999987</v>
      </c>
      <c r="D215" s="378">
        <f t="shared" si="6"/>
        <v>0</v>
      </c>
      <c r="E215" s="25"/>
      <c r="F215" s="21" t="s">
        <v>501</v>
      </c>
      <c r="G215" s="189">
        <v>9.1464843899999817</v>
      </c>
      <c r="H215" s="378">
        <v>9.1464843899999817</v>
      </c>
      <c r="I215" s="189">
        <f t="shared" si="7"/>
        <v>0</v>
      </c>
      <c r="J215" s="35"/>
    </row>
    <row r="216" spans="1:10" x14ac:dyDescent="0.25">
      <c r="A216" s="21" t="s">
        <v>493</v>
      </c>
      <c r="B216" s="189">
        <v>0.55677512999999978</v>
      </c>
      <c r="C216" s="189">
        <v>0.55677512999999956</v>
      </c>
      <c r="D216" s="378">
        <f t="shared" si="6"/>
        <v>0</v>
      </c>
      <c r="E216" s="25"/>
      <c r="F216" s="21" t="s">
        <v>499</v>
      </c>
      <c r="G216" s="189">
        <v>9.4401057099999974</v>
      </c>
      <c r="H216" s="378">
        <v>9.4401057099999992</v>
      </c>
      <c r="I216" s="189">
        <f t="shared" si="7"/>
        <v>0</v>
      </c>
      <c r="J216" s="35"/>
    </row>
    <row r="217" spans="1:10" x14ac:dyDescent="0.25">
      <c r="A217" s="21" t="s">
        <v>491</v>
      </c>
      <c r="B217" s="189">
        <v>0.23874074000000003</v>
      </c>
      <c r="C217" s="189">
        <v>0.23874073999999998</v>
      </c>
      <c r="D217" s="378">
        <f t="shared" si="6"/>
        <v>0</v>
      </c>
      <c r="E217" s="25"/>
      <c r="F217" s="21" t="s">
        <v>497</v>
      </c>
      <c r="G217" s="189">
        <v>44.957018039999866</v>
      </c>
      <c r="H217" s="378">
        <v>44.957018039999859</v>
      </c>
      <c r="I217" s="189">
        <f t="shared" si="7"/>
        <v>0</v>
      </c>
      <c r="J217" s="35"/>
    </row>
    <row r="218" spans="1:10" x14ac:dyDescent="0.25">
      <c r="A218" s="21" t="s">
        <v>489</v>
      </c>
      <c r="B218" s="189">
        <v>9.9088382599999871</v>
      </c>
      <c r="C218" s="189">
        <v>9.908838259999996</v>
      </c>
      <c r="D218" s="378">
        <f t="shared" si="6"/>
        <v>0</v>
      </c>
      <c r="E218" s="25"/>
      <c r="F218" s="21" t="s">
        <v>493</v>
      </c>
      <c r="G218" s="189">
        <v>44.385360179999978</v>
      </c>
      <c r="H218" s="378">
        <v>44.385360179999957</v>
      </c>
      <c r="I218" s="189">
        <f t="shared" si="7"/>
        <v>0</v>
      </c>
      <c r="J218" s="35"/>
    </row>
    <row r="219" spans="1:10" x14ac:dyDescent="0.25">
      <c r="A219" s="21" t="s">
        <v>487</v>
      </c>
      <c r="B219" s="189">
        <v>2.1691268899999998</v>
      </c>
      <c r="C219" s="189">
        <v>2.1691268899999994</v>
      </c>
      <c r="D219" s="378">
        <f t="shared" si="6"/>
        <v>0</v>
      </c>
      <c r="E219" s="25"/>
      <c r="F219" s="21" t="s">
        <v>491</v>
      </c>
      <c r="G219" s="189">
        <v>27.279253149999946</v>
      </c>
      <c r="H219" s="378">
        <v>27.279253149999967</v>
      </c>
      <c r="I219" s="189">
        <f t="shared" si="7"/>
        <v>0</v>
      </c>
      <c r="J219" s="35"/>
    </row>
    <row r="220" spans="1:10" x14ac:dyDescent="0.25">
      <c r="A220" s="21" t="s">
        <v>485</v>
      </c>
      <c r="B220" s="189">
        <v>0.16656538999999987</v>
      </c>
      <c r="C220" s="189">
        <v>0.1665653899999999</v>
      </c>
      <c r="D220" s="378">
        <f t="shared" si="6"/>
        <v>0</v>
      </c>
      <c r="E220" s="25"/>
      <c r="F220" s="21" t="s">
        <v>485</v>
      </c>
      <c r="G220" s="189">
        <v>19.001552899999979</v>
      </c>
      <c r="H220" s="378">
        <v>19.001552899999993</v>
      </c>
      <c r="I220" s="189">
        <f t="shared" si="7"/>
        <v>0</v>
      </c>
      <c r="J220" s="35"/>
    </row>
    <row r="221" spans="1:10" x14ac:dyDescent="0.25">
      <c r="A221" s="21" t="s">
        <v>483</v>
      </c>
      <c r="B221" s="189">
        <v>6.7138405799999976</v>
      </c>
      <c r="C221" s="189">
        <v>6.7138405800000012</v>
      </c>
      <c r="D221" s="378">
        <f t="shared" si="6"/>
        <v>0</v>
      </c>
      <c r="E221" s="25"/>
      <c r="F221" s="21" t="s">
        <v>481</v>
      </c>
      <c r="G221" s="189">
        <v>19.372072679999985</v>
      </c>
      <c r="H221" s="378">
        <v>19.372072679999985</v>
      </c>
      <c r="I221" s="189">
        <f t="shared" si="7"/>
        <v>0</v>
      </c>
      <c r="J221" s="35"/>
    </row>
    <row r="222" spans="1:10" x14ac:dyDescent="0.25">
      <c r="A222" s="21" t="s">
        <v>481</v>
      </c>
      <c r="B222" s="189">
        <v>16.280809159999983</v>
      </c>
      <c r="C222" s="189">
        <v>16.280809159999976</v>
      </c>
      <c r="D222" s="378">
        <f t="shared" si="6"/>
        <v>0</v>
      </c>
      <c r="E222" s="25"/>
      <c r="F222" s="21" t="s">
        <v>533</v>
      </c>
      <c r="G222" s="189">
        <v>7.058652E-2</v>
      </c>
      <c r="H222" s="378">
        <v>7.058652E-2</v>
      </c>
      <c r="I222" s="189">
        <f t="shared" si="7"/>
        <v>0</v>
      </c>
      <c r="J222" s="35"/>
    </row>
    <row r="223" spans="1:10" x14ac:dyDescent="0.25">
      <c r="A223" s="21" t="s">
        <v>479</v>
      </c>
      <c r="B223" s="189">
        <v>2064.0709331000003</v>
      </c>
      <c r="C223" s="189">
        <v>2064.0709331000003</v>
      </c>
      <c r="D223" s="378">
        <f t="shared" si="6"/>
        <v>0</v>
      </c>
      <c r="E223" s="25"/>
      <c r="F223" s="21" t="s">
        <v>723</v>
      </c>
      <c r="G223" s="189">
        <v>8.4751940000000012E-2</v>
      </c>
      <c r="H223" s="378">
        <v>8.4751939999999901E-2</v>
      </c>
      <c r="I223" s="189">
        <f t="shared" si="7"/>
        <v>-1.1102230246251565E-16</v>
      </c>
      <c r="J223" s="35"/>
    </row>
    <row r="224" spans="1:10" x14ac:dyDescent="0.25">
      <c r="A224" s="21" t="s">
        <v>544</v>
      </c>
      <c r="B224" s="189">
        <v>0.65167012999999963</v>
      </c>
      <c r="C224" s="189">
        <v>0.65167012999999852</v>
      </c>
      <c r="D224" s="378">
        <f t="shared" si="6"/>
        <v>-1.1102230246251565E-15</v>
      </c>
      <c r="E224" s="25"/>
      <c r="F224" s="21" t="s">
        <v>663</v>
      </c>
      <c r="G224" s="189">
        <v>0.21724471999999986</v>
      </c>
      <c r="H224" s="378">
        <v>0.21724471999999889</v>
      </c>
      <c r="I224" s="189">
        <f t="shared" si="7"/>
        <v>-9.7144514654701197E-16</v>
      </c>
      <c r="J224" s="35"/>
    </row>
    <row r="225" spans="1:10" x14ac:dyDescent="0.25">
      <c r="A225" s="21" t="s">
        <v>633</v>
      </c>
      <c r="B225" s="189">
        <v>1.8983232699999975</v>
      </c>
      <c r="C225" s="189">
        <v>1.8983232699999957</v>
      </c>
      <c r="D225" s="378">
        <f t="shared" si="6"/>
        <v>-1.7763568394002505E-15</v>
      </c>
      <c r="E225" s="25"/>
      <c r="F225" s="21" t="s">
        <v>687</v>
      </c>
      <c r="G225" s="189">
        <v>0.73960079000000001</v>
      </c>
      <c r="H225" s="378">
        <v>0.73960078999999901</v>
      </c>
      <c r="I225" s="189">
        <f t="shared" si="7"/>
        <v>-9.9920072216264089E-16</v>
      </c>
      <c r="J225" s="35"/>
    </row>
    <row r="226" spans="1:10" x14ac:dyDescent="0.25">
      <c r="A226" s="21" t="s">
        <v>653</v>
      </c>
      <c r="B226" s="189">
        <v>4.0067399600000009</v>
      </c>
      <c r="C226" s="189">
        <v>4.0067399599999902</v>
      </c>
      <c r="D226" s="378">
        <f t="shared" si="6"/>
        <v>-1.0658141036401503E-14</v>
      </c>
      <c r="E226" s="25"/>
      <c r="F226" s="21" t="s">
        <v>615</v>
      </c>
      <c r="G226" s="189">
        <v>0.23764332999999999</v>
      </c>
      <c r="H226" s="378">
        <v>0.23764332999999899</v>
      </c>
      <c r="I226" s="189">
        <f t="shared" si="7"/>
        <v>-9.9920072216264089E-16</v>
      </c>
      <c r="J226" s="35"/>
    </row>
    <row r="227" spans="1:10" x14ac:dyDescent="0.25">
      <c r="A227" s="21" t="s">
        <v>508</v>
      </c>
      <c r="B227" s="189">
        <v>6.2510634999999901</v>
      </c>
      <c r="C227" s="189">
        <v>6.251063499999975</v>
      </c>
      <c r="D227" s="512">
        <f t="shared" si="6"/>
        <v>-1.5099033134902129E-14</v>
      </c>
      <c r="E227" s="25"/>
      <c r="F227" s="21" t="s">
        <v>603</v>
      </c>
      <c r="G227" s="189">
        <v>6.2321551399999926</v>
      </c>
      <c r="H227" s="378">
        <v>6.2321551399999837</v>
      </c>
      <c r="I227" s="189">
        <f t="shared" si="7"/>
        <v>-8.8817841970012523E-15</v>
      </c>
      <c r="J227" s="35"/>
    </row>
    <row r="228" spans="1:10" x14ac:dyDescent="0.25">
      <c r="A228" s="21" t="s">
        <v>723</v>
      </c>
      <c r="B228" s="189">
        <v>227.92851603999978</v>
      </c>
      <c r="C228" s="189">
        <v>227.92851603999875</v>
      </c>
      <c r="D228" s="512">
        <f t="shared" si="6"/>
        <v>-1.0231815394945443E-12</v>
      </c>
      <c r="E228" s="25"/>
      <c r="F228" s="21" t="s">
        <v>651</v>
      </c>
      <c r="G228" s="189">
        <v>3.4564276299999999</v>
      </c>
      <c r="H228" s="378">
        <v>3.4564276299999901</v>
      </c>
      <c r="I228" s="189">
        <f t="shared" si="7"/>
        <v>-9.7699626167013776E-15</v>
      </c>
      <c r="J228" s="35"/>
    </row>
    <row r="229" spans="1:10" x14ac:dyDescent="0.25">
      <c r="A229" s="54" t="s">
        <v>654</v>
      </c>
      <c r="B229" s="187">
        <v>439.30450589999975</v>
      </c>
      <c r="C229" s="187">
        <v>439.30350589999961</v>
      </c>
      <c r="D229" s="512">
        <f t="shared" si="6"/>
        <v>-1.0000000001468834E-3</v>
      </c>
      <c r="E229" s="25"/>
      <c r="F229" s="21" t="s">
        <v>601</v>
      </c>
      <c r="G229" s="189">
        <v>2.2478927499999979</v>
      </c>
      <c r="H229" s="378">
        <v>2.2478927499999877</v>
      </c>
      <c r="I229" s="189">
        <f t="shared" si="7"/>
        <v>-1.021405182655144E-14</v>
      </c>
      <c r="J229" s="35"/>
    </row>
    <row r="230" spans="1:10" ht="13" x14ac:dyDescent="0.3">
      <c r="A230" s="199" t="s">
        <v>217</v>
      </c>
      <c r="B230" s="198">
        <f>SUM(B11:B229)</f>
        <v>13195.437450399992</v>
      </c>
      <c r="C230" s="198">
        <f>SUM(C11:C229)</f>
        <v>13195.615728059991</v>
      </c>
      <c r="D230" s="197">
        <f>SUM(D11:D214)</f>
        <v>0.17927766000053869</v>
      </c>
      <c r="E230" s="25"/>
      <c r="F230" s="21" t="s">
        <v>487</v>
      </c>
      <c r="G230" s="189">
        <v>7.8737897499999958</v>
      </c>
      <c r="H230" s="378">
        <v>7.8737897499999825</v>
      </c>
      <c r="I230" s="189">
        <f t="shared" si="7"/>
        <v>-1.3322676295501878E-14</v>
      </c>
      <c r="J230" s="35"/>
    </row>
    <row r="231" spans="1:10" x14ac:dyDescent="0.25">
      <c r="E231" s="25"/>
      <c r="F231" s="21" t="s">
        <v>704</v>
      </c>
      <c r="G231" s="189">
        <v>35.430915749999961</v>
      </c>
      <c r="H231" s="378">
        <v>35.430915749999876</v>
      </c>
      <c r="I231" s="189">
        <f t="shared" si="7"/>
        <v>-8.5265128291212022E-14</v>
      </c>
      <c r="J231" s="35"/>
    </row>
    <row r="232" spans="1:10" x14ac:dyDescent="0.25">
      <c r="E232" s="25"/>
      <c r="F232" s="21" t="s">
        <v>658</v>
      </c>
      <c r="G232" s="189">
        <v>622.50105746999964</v>
      </c>
      <c r="H232" s="378">
        <v>622.50105746999861</v>
      </c>
      <c r="I232" s="189">
        <f t="shared" si="7"/>
        <v>-1.0231815394945443E-12</v>
      </c>
      <c r="J232" s="35"/>
    </row>
    <row r="233" spans="1:10" x14ac:dyDescent="0.25">
      <c r="E233" s="25"/>
      <c r="F233" s="21" t="s">
        <v>535</v>
      </c>
      <c r="G233" s="189">
        <v>16.983189249999995</v>
      </c>
      <c r="H233" s="378">
        <v>16.98318845999999</v>
      </c>
      <c r="I233" s="189">
        <f t="shared" si="7"/>
        <v>-7.9000000496876055E-7</v>
      </c>
      <c r="J233" s="35"/>
    </row>
    <row r="234" spans="1:10" x14ac:dyDescent="0.25">
      <c r="E234" s="25"/>
      <c r="F234" s="21" t="s">
        <v>608</v>
      </c>
      <c r="G234" s="189">
        <v>105.52858323000001</v>
      </c>
      <c r="H234" s="378">
        <v>105.52857891999989</v>
      </c>
      <c r="I234" s="189">
        <f t="shared" si="7"/>
        <v>-4.3100001221318962E-6</v>
      </c>
      <c r="J234" s="35"/>
    </row>
    <row r="235" spans="1:10" x14ac:dyDescent="0.25">
      <c r="E235" s="25"/>
      <c r="F235" s="21" t="s">
        <v>484</v>
      </c>
      <c r="G235" s="189">
        <v>92.048306209999652</v>
      </c>
      <c r="H235" s="378">
        <v>92.048299009999624</v>
      </c>
      <c r="I235" s="189">
        <f t="shared" si="7"/>
        <v>-7.2000000272964826E-6</v>
      </c>
      <c r="J235" s="35"/>
    </row>
    <row r="236" spans="1:10" x14ac:dyDescent="0.25">
      <c r="E236" s="25"/>
      <c r="F236" s="21" t="s">
        <v>629</v>
      </c>
      <c r="G236" s="189">
        <v>35.966590819999936</v>
      </c>
      <c r="H236" s="378">
        <v>35.966580739999934</v>
      </c>
      <c r="I236" s="189">
        <f t="shared" si="7"/>
        <v>-1.0080000002687939E-5</v>
      </c>
      <c r="J236" s="35"/>
    </row>
    <row r="237" spans="1:10" x14ac:dyDescent="0.25">
      <c r="E237" s="25"/>
      <c r="F237" s="21" t="s">
        <v>612</v>
      </c>
      <c r="G237" s="189">
        <v>183.70387349999993</v>
      </c>
      <c r="H237" s="378">
        <v>183.70385815999992</v>
      </c>
      <c r="I237" s="189">
        <f t="shared" si="7"/>
        <v>-1.5340000004471221E-5</v>
      </c>
      <c r="J237" s="35"/>
    </row>
    <row r="238" spans="1:10" x14ac:dyDescent="0.25">
      <c r="E238" s="25"/>
      <c r="F238" s="21" t="s">
        <v>580</v>
      </c>
      <c r="G238" s="189">
        <v>9.0970535599999849</v>
      </c>
      <c r="H238" s="378">
        <v>9.0970113799999819</v>
      </c>
      <c r="I238" s="189">
        <f t="shared" si="7"/>
        <v>-4.2180000003000373E-5</v>
      </c>
      <c r="J238" s="35"/>
    </row>
    <row r="239" spans="1:10" x14ac:dyDescent="0.25">
      <c r="E239" s="25"/>
      <c r="F239" s="21" t="s">
        <v>527</v>
      </c>
      <c r="G239" s="189">
        <v>142.21532464999976</v>
      </c>
      <c r="H239" s="378">
        <v>142.21527617999976</v>
      </c>
      <c r="I239" s="189">
        <f t="shared" si="7"/>
        <v>-4.8469999995859325E-5</v>
      </c>
      <c r="J239" s="35"/>
    </row>
    <row r="240" spans="1:10" x14ac:dyDescent="0.25">
      <c r="E240" s="25"/>
      <c r="F240" s="21" t="s">
        <v>645</v>
      </c>
      <c r="G240" s="189">
        <v>29.389217359999986</v>
      </c>
      <c r="H240" s="378">
        <v>29.388762949999954</v>
      </c>
      <c r="I240" s="189">
        <f t="shared" si="7"/>
        <v>-4.5441000003165755E-4</v>
      </c>
      <c r="J240" s="35"/>
    </row>
    <row r="241" spans="5:10" x14ac:dyDescent="0.25">
      <c r="E241" s="25"/>
      <c r="F241" s="21" t="s">
        <v>503</v>
      </c>
      <c r="G241" s="189">
        <v>20.878860619999958</v>
      </c>
      <c r="H241" s="378">
        <v>20.876859619999951</v>
      </c>
      <c r="I241" s="189">
        <f t="shared" si="7"/>
        <v>-2.0010000000070249E-3</v>
      </c>
      <c r="J241" s="35"/>
    </row>
    <row r="242" spans="5:10" x14ac:dyDescent="0.25">
      <c r="E242" s="25"/>
      <c r="F242" s="21" t="s">
        <v>609</v>
      </c>
      <c r="G242" s="189">
        <v>31.771023879999973</v>
      </c>
      <c r="H242" s="378">
        <v>31.767819289999853</v>
      </c>
      <c r="I242" s="189">
        <f t="shared" si="7"/>
        <v>-3.2045900001200778E-3</v>
      </c>
      <c r="J242" s="35"/>
    </row>
    <row r="243" spans="5:10" x14ac:dyDescent="0.25">
      <c r="E243" s="25"/>
      <c r="F243" s="21" t="s">
        <v>495</v>
      </c>
      <c r="G243" s="189">
        <v>201.32775670999973</v>
      </c>
      <c r="H243" s="378">
        <v>201.32188063999962</v>
      </c>
      <c r="I243" s="189">
        <f t="shared" si="7"/>
        <v>-5.8760700001130317E-3</v>
      </c>
      <c r="J243" s="35"/>
    </row>
    <row r="244" spans="5:10" x14ac:dyDescent="0.25">
      <c r="E244" s="25"/>
      <c r="F244" s="21" t="s">
        <v>556</v>
      </c>
      <c r="G244" s="189">
        <v>80.687585489999918</v>
      </c>
      <c r="H244" s="378">
        <v>80.680324049999925</v>
      </c>
      <c r="I244" s="189">
        <f t="shared" si="7"/>
        <v>-7.2614399999935131E-3</v>
      </c>
      <c r="J244" s="35"/>
    </row>
    <row r="245" spans="5:10" x14ac:dyDescent="0.25">
      <c r="E245" s="25"/>
      <c r="F245" s="21" t="s">
        <v>538</v>
      </c>
      <c r="G245" s="189">
        <v>18.561532739999979</v>
      </c>
      <c r="H245" s="378">
        <v>18.550902249999979</v>
      </c>
      <c r="I245" s="189">
        <f t="shared" si="7"/>
        <v>-1.0630490000000492E-2</v>
      </c>
      <c r="J245" s="35"/>
    </row>
    <row r="246" spans="5:10" x14ac:dyDescent="0.25">
      <c r="E246" s="25"/>
      <c r="F246" s="21" t="s">
        <v>502</v>
      </c>
      <c r="G246" s="189">
        <v>21.766445219999962</v>
      </c>
      <c r="H246" s="378">
        <v>21.755468409999963</v>
      </c>
      <c r="I246" s="189">
        <f t="shared" si="7"/>
        <v>-1.0976809999998949E-2</v>
      </c>
      <c r="J246" s="35"/>
    </row>
    <row r="247" spans="5:10" x14ac:dyDescent="0.25">
      <c r="E247" s="25"/>
      <c r="F247" s="21" t="s">
        <v>607</v>
      </c>
      <c r="G247" s="189">
        <v>61.188447289999992</v>
      </c>
      <c r="H247" s="378">
        <v>61.173445439999995</v>
      </c>
      <c r="I247" s="189">
        <f t="shared" si="7"/>
        <v>-1.5001849999997319E-2</v>
      </c>
      <c r="J247" s="35"/>
    </row>
    <row r="248" spans="5:10" x14ac:dyDescent="0.25">
      <c r="E248" s="25"/>
      <c r="F248" s="21" t="s">
        <v>582</v>
      </c>
      <c r="G248" s="189">
        <v>63.924533389999766</v>
      </c>
      <c r="H248" s="378">
        <v>63.90838622999977</v>
      </c>
      <c r="I248" s="189">
        <f t="shared" si="7"/>
        <v>-1.6147159999995608E-2</v>
      </c>
      <c r="J248" s="35"/>
    </row>
    <row r="249" spans="5:10" x14ac:dyDescent="0.25">
      <c r="E249" s="25"/>
      <c r="F249" s="21" t="s">
        <v>548</v>
      </c>
      <c r="G249" s="189">
        <v>221.55603512999977</v>
      </c>
      <c r="H249" s="378">
        <v>221.51846679999989</v>
      </c>
      <c r="I249" s="189">
        <f t="shared" si="7"/>
        <v>-3.7568329999885464E-2</v>
      </c>
      <c r="J249" s="35"/>
    </row>
    <row r="250" spans="5:10" x14ac:dyDescent="0.25">
      <c r="E250" s="25"/>
      <c r="F250" s="21" t="s">
        <v>547</v>
      </c>
      <c r="G250" s="189">
        <v>108.60340724999983</v>
      </c>
      <c r="H250" s="378">
        <v>108.56534286999985</v>
      </c>
      <c r="I250" s="189">
        <f t="shared" si="7"/>
        <v>-3.8064379999980247E-2</v>
      </c>
      <c r="J250" s="35"/>
    </row>
    <row r="251" spans="5:10" x14ac:dyDescent="0.25">
      <c r="E251" s="25"/>
      <c r="F251" s="21" t="s">
        <v>500</v>
      </c>
      <c r="G251" s="189">
        <v>221.46940316999945</v>
      </c>
      <c r="H251" s="378">
        <v>221.41177823999939</v>
      </c>
      <c r="I251" s="189">
        <f t="shared" si="7"/>
        <v>-5.7624930000059749E-2</v>
      </c>
      <c r="J251" s="35"/>
    </row>
    <row r="252" spans="5:10" x14ac:dyDescent="0.25">
      <c r="E252" s="25"/>
      <c r="F252" s="21" t="s">
        <v>542</v>
      </c>
      <c r="G252" s="189">
        <v>105.66808898999975</v>
      </c>
      <c r="H252" s="378">
        <v>105.60939829999974</v>
      </c>
      <c r="I252" s="189">
        <f t="shared" si="7"/>
        <v>-5.869069000000593E-2</v>
      </c>
      <c r="J252" s="35"/>
    </row>
    <row r="253" spans="5:10" x14ac:dyDescent="0.25">
      <c r="E253" s="25"/>
      <c r="F253" s="21" t="s">
        <v>624</v>
      </c>
      <c r="G253" s="189">
        <v>108.36184420999983</v>
      </c>
      <c r="H253" s="378">
        <v>108.29455920999976</v>
      </c>
      <c r="I253" s="189">
        <f t="shared" si="7"/>
        <v>-6.7285000000069317E-2</v>
      </c>
      <c r="J253" s="35"/>
    </row>
    <row r="254" spans="5:10" x14ac:dyDescent="0.25">
      <c r="E254" s="25"/>
      <c r="F254" s="21" t="s">
        <v>510</v>
      </c>
      <c r="G254" s="189">
        <v>27.278491059999915</v>
      </c>
      <c r="H254" s="378">
        <v>27.209677829999919</v>
      </c>
      <c r="I254" s="189">
        <f t="shared" si="7"/>
        <v>-6.8813229999996395E-2</v>
      </c>
      <c r="J254" s="35"/>
    </row>
    <row r="255" spans="5:10" x14ac:dyDescent="0.25">
      <c r="E255" s="25"/>
      <c r="F255" s="21" t="s">
        <v>521</v>
      </c>
      <c r="G255" s="189">
        <v>217.75609870999975</v>
      </c>
      <c r="H255" s="378">
        <v>217.65669074999968</v>
      </c>
      <c r="I255" s="189">
        <f t="shared" si="7"/>
        <v>-9.9407960000064577E-2</v>
      </c>
      <c r="J255" s="35"/>
    </row>
    <row r="256" spans="5:10" x14ac:dyDescent="0.25">
      <c r="E256" s="25"/>
      <c r="F256" s="21" t="s">
        <v>588</v>
      </c>
      <c r="G256" s="189">
        <v>13.748736819999992</v>
      </c>
      <c r="H256" s="378">
        <v>13.503776919999995</v>
      </c>
      <c r="I256" s="189">
        <f t="shared" si="7"/>
        <v>-0.24495989999999779</v>
      </c>
      <c r="J256" s="35"/>
    </row>
    <row r="257" spans="1:10" x14ac:dyDescent="0.25">
      <c r="E257" s="25"/>
      <c r="F257" s="54" t="s">
        <v>619</v>
      </c>
      <c r="G257" s="187">
        <v>44.61291149999996</v>
      </c>
      <c r="H257" s="416">
        <v>43.80161149999995</v>
      </c>
      <c r="I257" s="187">
        <f t="shared" si="7"/>
        <v>-0.8113000000000099</v>
      </c>
      <c r="J257" s="35"/>
    </row>
    <row r="258" spans="1:10" ht="13" x14ac:dyDescent="0.3">
      <c r="E258" s="25"/>
      <c r="F258" s="199" t="s">
        <v>217</v>
      </c>
      <c r="G258" s="202">
        <f>SUM(G11:G257)</f>
        <v>16078.224444529978</v>
      </c>
      <c r="H258" s="202">
        <f>SUM(H11:H257)</f>
        <v>16078.485242719977</v>
      </c>
      <c r="I258" s="201">
        <f>SUM(I11:I257)</f>
        <v>0.26079819000054671</v>
      </c>
      <c r="J258" s="35"/>
    </row>
    <row r="259" spans="1:10" x14ac:dyDescent="0.25">
      <c r="E259" s="25"/>
      <c r="F259" s="35"/>
      <c r="G259" s="20"/>
      <c r="H259" s="20"/>
      <c r="I259" s="20"/>
    </row>
    <row r="260" spans="1:10" x14ac:dyDescent="0.25">
      <c r="E260" s="25"/>
      <c r="J260" s="35"/>
    </row>
    <row r="261" spans="1:10" x14ac:dyDescent="0.25">
      <c r="E261" s="25"/>
      <c r="J261" s="35"/>
    </row>
    <row r="262" spans="1:10" x14ac:dyDescent="0.25">
      <c r="E262" s="25"/>
      <c r="J262" s="35"/>
    </row>
    <row r="263" spans="1:10" x14ac:dyDescent="0.25">
      <c r="E263" s="25"/>
      <c r="J263" s="35"/>
    </row>
    <row r="264" spans="1:10" x14ac:dyDescent="0.25">
      <c r="E264" s="25"/>
      <c r="J264" s="35"/>
    </row>
    <row r="265" spans="1:10" x14ac:dyDescent="0.25">
      <c r="E265" s="25"/>
      <c r="J265" s="35"/>
    </row>
    <row r="266" spans="1:10" x14ac:dyDescent="0.25">
      <c r="E266" s="25"/>
      <c r="J266" s="35"/>
    </row>
    <row r="267" spans="1:10" s="11" customFormat="1" ht="13" x14ac:dyDescent="0.3">
      <c r="A267" s="31"/>
      <c r="B267" s="20"/>
      <c r="C267" s="20"/>
      <c r="D267" s="20"/>
      <c r="E267" s="196"/>
      <c r="F267" s="17"/>
      <c r="G267" s="17"/>
      <c r="H267" s="17"/>
      <c r="I267" s="17"/>
      <c r="J267" s="170"/>
    </row>
    <row r="268" spans="1:10" s="11" customFormat="1" ht="13" x14ac:dyDescent="0.3">
      <c r="A268" s="31"/>
      <c r="B268" s="20"/>
      <c r="C268" s="20"/>
      <c r="D268" s="20"/>
      <c r="E268" s="196"/>
      <c r="F268" s="17"/>
      <c r="G268" s="17"/>
      <c r="H268" s="17"/>
      <c r="I268" s="17"/>
      <c r="J268" s="170"/>
    </row>
    <row r="269" spans="1:10" s="11" customFormat="1" ht="13" x14ac:dyDescent="0.3">
      <c r="A269" s="31"/>
      <c r="B269" s="20"/>
      <c r="C269" s="20"/>
      <c r="D269" s="20"/>
      <c r="E269" s="195"/>
      <c r="F269" s="17"/>
      <c r="G269" s="17"/>
      <c r="H269" s="17"/>
      <c r="I269" s="17"/>
    </row>
    <row r="270" spans="1:10" s="11" customFormat="1" ht="13" x14ac:dyDescent="0.3">
      <c r="A270" s="31"/>
      <c r="B270" s="20"/>
      <c r="C270" s="20"/>
      <c r="D270" s="20"/>
      <c r="E270" s="42"/>
      <c r="F270" s="17"/>
      <c r="G270" s="17"/>
      <c r="H270" s="17"/>
      <c r="I270" s="17"/>
    </row>
    <row r="271" spans="1:10" s="11" customFormat="1" ht="13" x14ac:dyDescent="0.3">
      <c r="A271" s="31"/>
      <c r="B271" s="20"/>
      <c r="C271" s="20"/>
      <c r="D271" s="20"/>
      <c r="E271" s="194"/>
      <c r="F271" s="17"/>
      <c r="G271" s="17"/>
      <c r="H271" s="17"/>
      <c r="I271" s="17"/>
    </row>
  </sheetData>
  <mergeCells count="3">
    <mergeCell ref="A2:E2"/>
    <mergeCell ref="A9:D9"/>
    <mergeCell ref="F9:I9"/>
  </mergeCells>
  <hyperlinks>
    <hyperlink ref="K1" location="'Table of Content'!A1" display="Table of Content" xr:uid="{C35CFB65-445E-4BD3-A803-9E44C855001F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I46"/>
  <sheetViews>
    <sheetView zoomScaleNormal="100" workbookViewId="0">
      <selection activeCell="A47" sqref="A47:XFD67"/>
    </sheetView>
  </sheetViews>
  <sheetFormatPr defaultColWidth="8.81640625" defaultRowHeight="12.5" x14ac:dyDescent="0.25"/>
  <cols>
    <col min="1" max="1" width="29.1796875" style="314" bestFit="1" customWidth="1"/>
    <col min="2" max="2" width="17.453125" style="41" bestFit="1" customWidth="1"/>
    <col min="3" max="3" width="34.7265625" style="41" customWidth="1"/>
    <col min="4" max="4" width="30.1796875" style="41" customWidth="1"/>
    <col min="5" max="5" width="33.08984375" style="41" bestFit="1" customWidth="1"/>
    <col min="6" max="6" width="37.81640625" style="41" customWidth="1"/>
    <col min="7" max="7" width="12.81640625" style="14" customWidth="1"/>
    <col min="8" max="16384" width="8.81640625" style="14"/>
  </cols>
  <sheetData>
    <row r="1" spans="1:9" ht="13" x14ac:dyDescent="0.3">
      <c r="A1" s="575" t="s">
        <v>932</v>
      </c>
      <c r="B1" s="575"/>
      <c r="C1" s="575"/>
      <c r="H1" s="574" t="s">
        <v>239</v>
      </c>
      <c r="I1" s="574"/>
    </row>
    <row r="2" spans="1:9" s="315" customFormat="1" ht="13" x14ac:dyDescent="0.3">
      <c r="A2" s="423" t="s">
        <v>904</v>
      </c>
      <c r="B2" s="423" t="s">
        <v>665</v>
      </c>
      <c r="C2" s="423" t="s">
        <v>526</v>
      </c>
      <c r="D2" s="423" t="s">
        <v>964</v>
      </c>
      <c r="E2" s="423" t="s">
        <v>628</v>
      </c>
      <c r="F2" s="423" t="s">
        <v>540</v>
      </c>
    </row>
    <row r="3" spans="1:9" ht="13.5" customHeight="1" x14ac:dyDescent="0.25">
      <c r="A3" s="21" t="s">
        <v>860</v>
      </c>
      <c r="B3" s="48"/>
      <c r="C3" s="48"/>
      <c r="D3" s="48"/>
      <c r="E3" s="48">
        <v>2.5916790000000002E-2</v>
      </c>
      <c r="F3" s="48"/>
    </row>
    <row r="4" spans="1:9" x14ac:dyDescent="0.25">
      <c r="A4" s="21" t="s">
        <v>254</v>
      </c>
      <c r="B4" s="48"/>
      <c r="C4" s="48"/>
      <c r="D4" s="48">
        <v>7.8767999999999904E-4</v>
      </c>
      <c r="E4" s="48"/>
      <c r="F4" s="48"/>
    </row>
    <row r="5" spans="1:9" x14ac:dyDescent="0.25">
      <c r="A5" s="21" t="s">
        <v>262</v>
      </c>
      <c r="B5" s="48"/>
      <c r="C5" s="48"/>
      <c r="D5" s="48">
        <v>0.32606025999999999</v>
      </c>
      <c r="E5" s="48"/>
      <c r="F5" s="48"/>
    </row>
    <row r="6" spans="1:9" x14ac:dyDescent="0.25">
      <c r="A6" s="21" t="s">
        <v>818</v>
      </c>
      <c r="B6" s="48"/>
      <c r="C6" s="48"/>
      <c r="D6" s="48">
        <v>2.5294500000000001E-2</v>
      </c>
      <c r="E6" s="48"/>
      <c r="F6" s="48"/>
    </row>
    <row r="7" spans="1:9" x14ac:dyDescent="0.25">
      <c r="A7" s="21" t="s">
        <v>793</v>
      </c>
      <c r="B7" s="48"/>
      <c r="C7" s="48"/>
      <c r="D7" s="48">
        <v>278.14019585</v>
      </c>
      <c r="E7" s="48"/>
      <c r="F7" s="48"/>
    </row>
    <row r="8" spans="1:9" x14ac:dyDescent="0.25">
      <c r="A8" s="21" t="s">
        <v>251</v>
      </c>
      <c r="B8" s="48"/>
      <c r="C8" s="48"/>
      <c r="D8" s="48">
        <v>7.2656031599999995</v>
      </c>
      <c r="E8" s="48"/>
      <c r="F8" s="48"/>
    </row>
    <row r="9" spans="1:9" x14ac:dyDescent="0.25">
      <c r="A9" s="21" t="s">
        <v>245</v>
      </c>
      <c r="B9" s="48"/>
      <c r="C9" s="48"/>
      <c r="D9" s="48">
        <v>1.68173536</v>
      </c>
      <c r="E9" s="48"/>
      <c r="F9" s="48">
        <v>8.07204799999999E-2</v>
      </c>
    </row>
    <row r="10" spans="1:9" x14ac:dyDescent="0.25">
      <c r="A10" s="21" t="s">
        <v>266</v>
      </c>
      <c r="B10" s="48"/>
      <c r="C10" s="48">
        <v>1.82917106</v>
      </c>
      <c r="D10" s="48">
        <v>0.159373389999999</v>
      </c>
      <c r="E10" s="48"/>
      <c r="F10" s="48"/>
    </row>
    <row r="11" spans="1:9" x14ac:dyDescent="0.25">
      <c r="A11" s="21" t="s">
        <v>246</v>
      </c>
      <c r="B11" s="48"/>
      <c r="C11" s="48"/>
      <c r="D11" s="48">
        <v>5.583003769999979</v>
      </c>
      <c r="E11" s="48">
        <v>217.53726491999998</v>
      </c>
      <c r="F11" s="48">
        <v>117.69154599999987</v>
      </c>
    </row>
    <row r="12" spans="1:9" ht="13.5" customHeight="1" x14ac:dyDescent="0.25">
      <c r="A12" s="21" t="s">
        <v>808</v>
      </c>
      <c r="B12" s="48"/>
      <c r="C12" s="48"/>
      <c r="D12" s="48"/>
      <c r="E12" s="48">
        <v>2.0289999999999999E-2</v>
      </c>
      <c r="F12" s="48"/>
    </row>
    <row r="13" spans="1:9" x14ac:dyDescent="0.25">
      <c r="A13" s="21" t="s">
        <v>249</v>
      </c>
      <c r="B13" s="48"/>
      <c r="C13" s="48">
        <v>358.16625364999902</v>
      </c>
      <c r="D13" s="48"/>
      <c r="E13" s="48"/>
      <c r="F13" s="48"/>
    </row>
    <row r="14" spans="1:9" x14ac:dyDescent="0.25">
      <c r="A14" s="21" t="s">
        <v>277</v>
      </c>
      <c r="B14" s="48"/>
      <c r="C14" s="48"/>
      <c r="D14" s="48"/>
      <c r="E14" s="48">
        <v>20.432709600000003</v>
      </c>
      <c r="F14" s="48"/>
    </row>
    <row r="15" spans="1:9" x14ac:dyDescent="0.25">
      <c r="A15" s="21" t="s">
        <v>841</v>
      </c>
      <c r="B15" s="48"/>
      <c r="C15" s="48"/>
      <c r="D15" s="48">
        <v>2.9655000000000003E-4</v>
      </c>
      <c r="E15" s="48"/>
      <c r="F15" s="48"/>
    </row>
    <row r="16" spans="1:9" x14ac:dyDescent="0.25">
      <c r="A16" s="21" t="s">
        <v>817</v>
      </c>
      <c r="B16" s="48"/>
      <c r="C16" s="48"/>
      <c r="D16" s="48">
        <v>1.87572999999999E-2</v>
      </c>
      <c r="E16" s="48">
        <v>0.37691914000000004</v>
      </c>
      <c r="F16" s="48"/>
    </row>
    <row r="17" spans="1:6" x14ac:dyDescent="0.25">
      <c r="A17" s="21" t="s">
        <v>256</v>
      </c>
      <c r="B17" s="48"/>
      <c r="C17" s="48"/>
      <c r="D17" s="48">
        <v>4.6186800199999984</v>
      </c>
      <c r="E17" s="48"/>
      <c r="F17" s="48"/>
    </row>
    <row r="18" spans="1:6" x14ac:dyDescent="0.25">
      <c r="A18" s="21" t="s">
        <v>257</v>
      </c>
      <c r="B18" s="48"/>
      <c r="C18" s="48"/>
      <c r="D18" s="48">
        <v>2.2800676499999977</v>
      </c>
      <c r="E18" s="48">
        <v>5.2807769999999893E-2</v>
      </c>
      <c r="F18" s="48">
        <v>0.85402599999999995</v>
      </c>
    </row>
    <row r="19" spans="1:6" x14ac:dyDescent="0.25">
      <c r="A19" s="21" t="s">
        <v>915</v>
      </c>
      <c r="B19" s="48"/>
      <c r="C19" s="48"/>
      <c r="D19" s="48">
        <v>2.8329000000000002E-3</v>
      </c>
      <c r="E19" s="48"/>
      <c r="F19" s="48"/>
    </row>
    <row r="20" spans="1:6" x14ac:dyDescent="0.25">
      <c r="A20" s="21" t="s">
        <v>889</v>
      </c>
      <c r="B20" s="48"/>
      <c r="C20" s="48"/>
      <c r="D20" s="48">
        <v>0.1207375199999999</v>
      </c>
      <c r="E20" s="48"/>
      <c r="F20" s="48"/>
    </row>
    <row r="21" spans="1:6" x14ac:dyDescent="0.25">
      <c r="A21" s="21" t="s">
        <v>795</v>
      </c>
      <c r="B21" s="48"/>
      <c r="C21" s="48"/>
      <c r="D21" s="48">
        <v>65.621226279999902</v>
      </c>
      <c r="E21" s="48"/>
      <c r="F21" s="48">
        <v>4.9163311699999905</v>
      </c>
    </row>
    <row r="22" spans="1:6" ht="13.5" customHeight="1" x14ac:dyDescent="0.25">
      <c r="A22" s="21" t="s">
        <v>255</v>
      </c>
      <c r="B22" s="48"/>
      <c r="C22" s="48"/>
      <c r="D22" s="48">
        <v>814.37935647999905</v>
      </c>
      <c r="E22" s="48"/>
      <c r="F22" s="48"/>
    </row>
    <row r="23" spans="1:6" x14ac:dyDescent="0.25">
      <c r="A23" s="21" t="s">
        <v>797</v>
      </c>
      <c r="B23" s="48"/>
      <c r="C23" s="48"/>
      <c r="D23" s="48">
        <v>1.7799329000000002</v>
      </c>
      <c r="E23" s="48"/>
      <c r="F23" s="48">
        <v>15.437783499999998</v>
      </c>
    </row>
    <row r="24" spans="1:6" x14ac:dyDescent="0.25">
      <c r="A24" s="21" t="s">
        <v>806</v>
      </c>
      <c r="B24" s="48"/>
      <c r="C24" s="48"/>
      <c r="D24" s="48"/>
      <c r="E24" s="48"/>
      <c r="F24" s="48">
        <v>1.6600139999999999</v>
      </c>
    </row>
    <row r="25" spans="1:6" x14ac:dyDescent="0.25">
      <c r="A25" s="21" t="s">
        <v>882</v>
      </c>
      <c r="B25" s="48"/>
      <c r="C25" s="48"/>
      <c r="D25" s="48">
        <v>284.65060690000001</v>
      </c>
      <c r="E25" s="48"/>
      <c r="F25" s="48"/>
    </row>
    <row r="26" spans="1:6" x14ac:dyDescent="0.25">
      <c r="A26" s="21" t="s">
        <v>285</v>
      </c>
      <c r="B26" s="48"/>
      <c r="C26" s="48"/>
      <c r="D26" s="48">
        <v>147.47640525</v>
      </c>
      <c r="E26" s="48"/>
      <c r="F26" s="48"/>
    </row>
    <row r="27" spans="1:6" x14ac:dyDescent="0.25">
      <c r="A27" s="21" t="s">
        <v>248</v>
      </c>
      <c r="B27" s="48"/>
      <c r="C27" s="48"/>
      <c r="D27" s="48">
        <v>55.047191439999899</v>
      </c>
      <c r="E27" s="48"/>
      <c r="F27" s="48"/>
    </row>
    <row r="28" spans="1:6" x14ac:dyDescent="0.25">
      <c r="A28" s="21" t="s">
        <v>263</v>
      </c>
      <c r="B28" s="48"/>
      <c r="C28" s="48"/>
      <c r="D28" s="48">
        <v>4.92552699999999E-2</v>
      </c>
      <c r="E28" s="48">
        <v>0.14333159000000001</v>
      </c>
      <c r="F28" s="48"/>
    </row>
    <row r="29" spans="1:6" x14ac:dyDescent="0.25">
      <c r="A29" s="21" t="s">
        <v>792</v>
      </c>
      <c r="B29" s="48"/>
      <c r="C29" s="48"/>
      <c r="D29" s="48">
        <v>255.74436104999899</v>
      </c>
      <c r="E29" s="48">
        <v>54.011321530000004</v>
      </c>
      <c r="F29" s="48"/>
    </row>
    <row r="30" spans="1:6" x14ac:dyDescent="0.25">
      <c r="A30" s="21" t="s">
        <v>886</v>
      </c>
      <c r="B30" s="48"/>
      <c r="C30" s="48"/>
      <c r="D30" s="48">
        <v>3.5812169999999893E-2</v>
      </c>
      <c r="E30" s="48"/>
      <c r="F30" s="48"/>
    </row>
    <row r="31" spans="1:6" x14ac:dyDescent="0.25">
      <c r="A31" s="21" t="s">
        <v>260</v>
      </c>
      <c r="B31" s="48"/>
      <c r="C31" s="48"/>
      <c r="D31" s="48"/>
      <c r="E31" s="48"/>
      <c r="F31" s="48">
        <v>4.4522125799999994</v>
      </c>
    </row>
    <row r="32" spans="1:6" x14ac:dyDescent="0.25">
      <c r="A32" s="21" t="s">
        <v>259</v>
      </c>
      <c r="B32" s="48"/>
      <c r="C32" s="48"/>
      <c r="D32" s="48"/>
      <c r="E32" s="48"/>
      <c r="F32" s="48">
        <v>13.260152999999999</v>
      </c>
    </row>
    <row r="33" spans="1:6" x14ac:dyDescent="0.25">
      <c r="A33" s="21" t="s">
        <v>807</v>
      </c>
      <c r="B33" s="48"/>
      <c r="C33" s="48"/>
      <c r="D33" s="48"/>
      <c r="E33" s="48">
        <v>10.510332119999999</v>
      </c>
      <c r="F33" s="48"/>
    </row>
    <row r="34" spans="1:6" x14ac:dyDescent="0.25">
      <c r="A34" s="21" t="s">
        <v>264</v>
      </c>
      <c r="B34" s="48"/>
      <c r="C34" s="48"/>
      <c r="D34" s="48">
        <v>5.8582299999999903E-3</v>
      </c>
      <c r="E34" s="48"/>
      <c r="F34" s="48"/>
    </row>
    <row r="35" spans="1:6" x14ac:dyDescent="0.25">
      <c r="A35" s="21" t="s">
        <v>800</v>
      </c>
      <c r="B35" s="48"/>
      <c r="C35" s="48"/>
      <c r="D35" s="48">
        <v>0.61763207999999903</v>
      </c>
      <c r="E35" s="48"/>
      <c r="F35" s="48"/>
    </row>
    <row r="36" spans="1:6" x14ac:dyDescent="0.25">
      <c r="A36" s="21" t="s">
        <v>235</v>
      </c>
      <c r="B36" s="48"/>
      <c r="C36" s="48"/>
      <c r="D36" s="48">
        <v>67.285321289999956</v>
      </c>
      <c r="E36" s="48">
        <v>86.210983109999802</v>
      </c>
      <c r="F36" s="48">
        <v>336.3720256199997</v>
      </c>
    </row>
    <row r="37" spans="1:6" x14ac:dyDescent="0.25">
      <c r="A37" s="21" t="s">
        <v>890</v>
      </c>
      <c r="B37" s="48"/>
      <c r="C37" s="48"/>
      <c r="D37" s="48">
        <v>3.4342000000000004E-4</v>
      </c>
      <c r="E37" s="48">
        <v>2.4284800000000002E-3</v>
      </c>
      <c r="F37" s="48">
        <v>4.7906449999999996</v>
      </c>
    </row>
    <row r="38" spans="1:6" x14ac:dyDescent="0.25">
      <c r="A38" s="21" t="s">
        <v>801</v>
      </c>
      <c r="B38" s="48"/>
      <c r="C38" s="48"/>
      <c r="D38" s="48">
        <v>0.11986830999999899</v>
      </c>
      <c r="E38" s="48"/>
      <c r="F38" s="48"/>
    </row>
    <row r="39" spans="1:6" x14ac:dyDescent="0.25">
      <c r="A39" s="21" t="s">
        <v>809</v>
      </c>
      <c r="B39" s="48"/>
      <c r="C39" s="48"/>
      <c r="D39" s="48">
        <v>10.150245439999981</v>
      </c>
      <c r="E39" s="48"/>
      <c r="F39" s="48"/>
    </row>
    <row r="40" spans="1:6" x14ac:dyDescent="0.25">
      <c r="A40" s="21" t="s">
        <v>888</v>
      </c>
      <c r="B40" s="48"/>
      <c r="C40" s="48"/>
      <c r="D40" s="48">
        <v>1.392845E-2</v>
      </c>
      <c r="E40" s="48"/>
      <c r="F40" s="48">
        <v>3.2545060000000001</v>
      </c>
    </row>
    <row r="41" spans="1:6" x14ac:dyDescent="0.25">
      <c r="A41" s="21" t="s">
        <v>250</v>
      </c>
      <c r="B41" s="48"/>
      <c r="C41" s="48"/>
      <c r="D41" s="48">
        <v>289.20445642999891</v>
      </c>
      <c r="E41" s="48"/>
      <c r="F41" s="48"/>
    </row>
    <row r="42" spans="1:6" x14ac:dyDescent="0.25">
      <c r="A42" s="21" t="s">
        <v>337</v>
      </c>
      <c r="B42" s="48"/>
      <c r="C42" s="48"/>
      <c r="D42" s="48">
        <v>0.10892900999999898</v>
      </c>
      <c r="E42" s="48"/>
      <c r="F42" s="48">
        <v>10.564288619999997</v>
      </c>
    </row>
    <row r="43" spans="1:6" x14ac:dyDescent="0.25">
      <c r="A43" s="21" t="s">
        <v>891</v>
      </c>
      <c r="B43" s="48"/>
      <c r="C43" s="48"/>
      <c r="D43" s="48">
        <v>0.58206208999999809</v>
      </c>
      <c r="E43" s="48"/>
      <c r="F43" s="48">
        <v>20.49</v>
      </c>
    </row>
    <row r="44" spans="1:6" x14ac:dyDescent="0.25">
      <c r="A44" s="21" t="s">
        <v>896</v>
      </c>
      <c r="B44" s="48"/>
      <c r="C44" s="48"/>
      <c r="D44" s="48">
        <v>5.6398593399999895</v>
      </c>
      <c r="E44" s="48"/>
      <c r="F44" s="48"/>
    </row>
    <row r="45" spans="1:6" x14ac:dyDescent="0.25">
      <c r="A45" s="21" t="s">
        <v>794</v>
      </c>
      <c r="B45" s="48"/>
      <c r="C45" s="48"/>
      <c r="D45" s="48">
        <v>0.51407471999999788</v>
      </c>
      <c r="E45" s="48">
        <v>0.31425500000000001</v>
      </c>
      <c r="F45" s="48"/>
    </row>
    <row r="46" spans="1:6" x14ac:dyDescent="0.25">
      <c r="A46" s="54" t="s">
        <v>247</v>
      </c>
      <c r="B46" s="49">
        <v>406.79369464000001</v>
      </c>
      <c r="C46" s="49"/>
      <c r="D46" s="49"/>
      <c r="E46" s="49"/>
      <c r="F46" s="49"/>
    </row>
  </sheetData>
  <mergeCells count="2">
    <mergeCell ref="H1:I1"/>
    <mergeCell ref="A1:C1"/>
  </mergeCells>
  <hyperlinks>
    <hyperlink ref="H1" location="'Table of Content'!A1" display="Table of Content" xr:uid="{659B50AF-45A2-4ED5-82CC-02EF730B265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I17"/>
  <sheetViews>
    <sheetView zoomScaleNormal="100" workbookViewId="0">
      <selection activeCell="A2" sqref="A2:C2"/>
    </sheetView>
  </sheetViews>
  <sheetFormatPr defaultColWidth="8.7265625" defaultRowHeight="12.5" x14ac:dyDescent="0.25"/>
  <cols>
    <col min="1" max="1" width="45.1796875" style="1" bestFit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6384" width="8.7265625" style="1"/>
  </cols>
  <sheetData>
    <row r="1" spans="1:9" ht="13" x14ac:dyDescent="0.3">
      <c r="A1" s="3" t="s">
        <v>1014</v>
      </c>
      <c r="H1" s="577" t="s">
        <v>239</v>
      </c>
      <c r="I1" s="577"/>
    </row>
    <row r="2" spans="1:9" ht="13" x14ac:dyDescent="0.3">
      <c r="A2" s="576" t="s">
        <v>290</v>
      </c>
      <c r="B2" s="576"/>
      <c r="C2" s="576"/>
      <c r="D2" s="576" t="s">
        <v>289</v>
      </c>
      <c r="E2" s="576"/>
      <c r="F2" s="576"/>
    </row>
    <row r="3" spans="1:9" ht="13" x14ac:dyDescent="0.3">
      <c r="A3" s="324" t="s">
        <v>934</v>
      </c>
      <c r="B3" s="317" t="s">
        <v>296</v>
      </c>
      <c r="C3" s="317" t="s">
        <v>234</v>
      </c>
      <c r="D3" s="317" t="s">
        <v>934</v>
      </c>
      <c r="E3" s="317" t="s">
        <v>296</v>
      </c>
      <c r="F3" s="323" t="s">
        <v>234</v>
      </c>
    </row>
    <row r="4" spans="1:9" s="55" customFormat="1" x14ac:dyDescent="0.25">
      <c r="A4" s="67" t="s">
        <v>479</v>
      </c>
      <c r="B4" s="390">
        <v>2104.9002070000001</v>
      </c>
      <c r="C4" s="318">
        <f t="shared" ref="C4:C13" si="0">(B4/$B$15)*100</f>
        <v>21.115821264243134</v>
      </c>
      <c r="D4" s="67" t="s">
        <v>964</v>
      </c>
      <c r="E4" s="139">
        <v>2299.2501524599948</v>
      </c>
      <c r="F4" s="318">
        <f t="shared" ref="F4:F13" si="1">(E4/$E$15)*100</f>
        <v>15.953445438436905</v>
      </c>
    </row>
    <row r="5" spans="1:9" s="55" customFormat="1" x14ac:dyDescent="0.25">
      <c r="A5" s="30" t="s">
        <v>691</v>
      </c>
      <c r="B5" s="391">
        <v>1980.1807040200001</v>
      </c>
      <c r="C5" s="318">
        <f t="shared" si="0"/>
        <v>19.864667064945305</v>
      </c>
      <c r="D5" s="30" t="s">
        <v>540</v>
      </c>
      <c r="E5" s="65">
        <v>533.82425196999964</v>
      </c>
      <c r="F5" s="318">
        <f t="shared" si="1"/>
        <v>3.7039623846087633</v>
      </c>
    </row>
    <row r="6" spans="1:9" s="55" customFormat="1" x14ac:dyDescent="0.25">
      <c r="A6" s="30" t="s">
        <v>604</v>
      </c>
      <c r="B6" s="391">
        <v>1228.3712236099987</v>
      </c>
      <c r="C6" s="318">
        <f t="shared" si="0"/>
        <v>12.322706377066913</v>
      </c>
      <c r="D6" s="30" t="s">
        <v>665</v>
      </c>
      <c r="E6" s="65">
        <v>406.79369464000001</v>
      </c>
      <c r="F6" s="318">
        <f t="shared" si="1"/>
        <v>2.8225554340818166</v>
      </c>
    </row>
    <row r="7" spans="1:9" s="309" customFormat="1" x14ac:dyDescent="0.25">
      <c r="A7" s="30" t="s">
        <v>715</v>
      </c>
      <c r="B7" s="391">
        <v>744.43361601999914</v>
      </c>
      <c r="C7" s="322">
        <f t="shared" si="0"/>
        <v>7.4679679001867783</v>
      </c>
      <c r="D7" s="30" t="s">
        <v>628</v>
      </c>
      <c r="E7" s="65">
        <v>389.6385600499998</v>
      </c>
      <c r="F7" s="322">
        <f t="shared" si="1"/>
        <v>2.7035237996257773</v>
      </c>
    </row>
    <row r="8" spans="1:9" s="55" customFormat="1" x14ac:dyDescent="0.25">
      <c r="A8" s="30" t="s">
        <v>726</v>
      </c>
      <c r="B8" s="391">
        <v>463.09247098999987</v>
      </c>
      <c r="C8" s="318">
        <f t="shared" si="0"/>
        <v>4.6456253905634846</v>
      </c>
      <c r="D8" s="30" t="s">
        <v>526</v>
      </c>
      <c r="E8" s="65">
        <v>359.99542470999904</v>
      </c>
      <c r="F8" s="318">
        <f t="shared" si="1"/>
        <v>2.4978436383066924</v>
      </c>
    </row>
    <row r="9" spans="1:9" s="55" customFormat="1" ht="16" customHeight="1" x14ac:dyDescent="0.25">
      <c r="A9" s="30" t="s">
        <v>526</v>
      </c>
      <c r="B9" s="391">
        <v>439.59916320999901</v>
      </c>
      <c r="C9" s="318">
        <f t="shared" si="0"/>
        <v>4.4099465273382359</v>
      </c>
      <c r="D9" s="30" t="s">
        <v>541</v>
      </c>
      <c r="E9" s="65">
        <v>338.51491511999944</v>
      </c>
      <c r="F9" s="318">
        <f t="shared" si="1"/>
        <v>2.3488002045736414</v>
      </c>
    </row>
    <row r="10" spans="1:9" s="55" customFormat="1" x14ac:dyDescent="0.25">
      <c r="A10" s="30" t="s">
        <v>964</v>
      </c>
      <c r="B10" s="391">
        <v>391.5722396499994</v>
      </c>
      <c r="C10" s="318">
        <f t="shared" si="0"/>
        <v>3.9281526967367366</v>
      </c>
      <c r="D10" s="30" t="s">
        <v>521</v>
      </c>
      <c r="E10" s="65">
        <v>336.62728274999961</v>
      </c>
      <c r="F10" s="318">
        <f t="shared" si="1"/>
        <v>2.3357027867087776</v>
      </c>
    </row>
    <row r="11" spans="1:9" s="55" customFormat="1" x14ac:dyDescent="0.25">
      <c r="A11" s="30" t="s">
        <v>665</v>
      </c>
      <c r="B11" s="391">
        <v>368.13993011999997</v>
      </c>
      <c r="C11" s="318">
        <f t="shared" si="0"/>
        <v>3.6930857523759442</v>
      </c>
      <c r="D11" s="30" t="s">
        <v>565</v>
      </c>
      <c r="E11" s="65">
        <v>282.8152786399998</v>
      </c>
      <c r="F11" s="318">
        <f t="shared" si="1"/>
        <v>1.9623258966025316</v>
      </c>
    </row>
    <row r="12" spans="1:9" s="55" customFormat="1" ht="14.5" customHeight="1" x14ac:dyDescent="0.25">
      <c r="A12" s="30" t="s">
        <v>723</v>
      </c>
      <c r="B12" s="391">
        <v>229.06592244999985</v>
      </c>
      <c r="C12" s="318">
        <f t="shared" si="0"/>
        <v>2.2979308283108431</v>
      </c>
      <c r="D12" s="30" t="s">
        <v>658</v>
      </c>
      <c r="E12" s="65">
        <v>277.17767830999884</v>
      </c>
      <c r="F12" s="318">
        <f t="shared" si="1"/>
        <v>1.9232091657969876</v>
      </c>
    </row>
    <row r="13" spans="1:9" s="309" customFormat="1" x14ac:dyDescent="0.25">
      <c r="A13" s="30" t="s">
        <v>693</v>
      </c>
      <c r="B13" s="391">
        <v>176.95363172999996</v>
      </c>
      <c r="C13" s="322">
        <f t="shared" si="0"/>
        <v>1.775153637803496</v>
      </c>
      <c r="D13" s="30" t="s">
        <v>693</v>
      </c>
      <c r="E13" s="65">
        <v>274.86375653999966</v>
      </c>
      <c r="F13" s="321">
        <f t="shared" si="1"/>
        <v>1.9071539207132817</v>
      </c>
    </row>
    <row r="14" spans="1:9" s="55" customFormat="1" x14ac:dyDescent="0.35">
      <c r="A14" s="320" t="s">
        <v>933</v>
      </c>
      <c r="B14" s="319">
        <f>B15-SUM(B4:B13)</f>
        <v>1842.046754130004</v>
      </c>
      <c r="C14" s="318">
        <f>((Table27[[#This Row],[Column2]]/B15))*100</f>
        <v>18.478942560429125</v>
      </c>
      <c r="D14" s="320" t="s">
        <v>933</v>
      </c>
      <c r="E14" s="319">
        <f>E15-SUM(E4:E13)</f>
        <v>8912.7472011800091</v>
      </c>
      <c r="F14" s="318">
        <f>((Table27[[#This Row],[Column5]]/E15))*100</f>
        <v>61.841477330544826</v>
      </c>
    </row>
    <row r="15" spans="1:9" ht="13" x14ac:dyDescent="0.3">
      <c r="A15" s="317" t="s">
        <v>217</v>
      </c>
      <c r="B15" s="316">
        <v>9968.3558629300005</v>
      </c>
      <c r="C15" s="44">
        <f>SUM(C4:C14)</f>
        <v>100</v>
      </c>
      <c r="D15" s="44" t="s">
        <v>217</v>
      </c>
      <c r="E15" s="316">
        <v>14412.248196369999</v>
      </c>
      <c r="F15" s="44">
        <f>SUM(F4:F14)</f>
        <v>100</v>
      </c>
    </row>
    <row r="16" spans="1:9" x14ac:dyDescent="0.25">
      <c r="B16" s="2"/>
    </row>
    <row r="17" spans="2:5" x14ac:dyDescent="0.25">
      <c r="B17" s="2"/>
      <c r="C17" s="2"/>
      <c r="D17" s="2"/>
      <c r="E17" s="2"/>
    </row>
  </sheetData>
  <mergeCells count="3">
    <mergeCell ref="A2:C2"/>
    <mergeCell ref="D2:F2"/>
    <mergeCell ref="H1:I1"/>
  </mergeCells>
  <hyperlinks>
    <hyperlink ref="H1:I1" location="'Table of Content'!A1" display="Table of Content" xr:uid="{F0DBD0C1-6037-460C-A18B-CF8A000E9BA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E30C-E4BF-499F-9558-7060B463894D}">
  <dimension ref="A1:L239"/>
  <sheetViews>
    <sheetView zoomScaleNormal="100" workbookViewId="0">
      <selection activeCell="A15" sqref="A15"/>
    </sheetView>
  </sheetViews>
  <sheetFormatPr defaultColWidth="8.81640625" defaultRowHeight="12.5" x14ac:dyDescent="0.25"/>
  <cols>
    <col min="1" max="1" width="20.26953125" style="4" customWidth="1"/>
    <col min="2" max="2" width="16.36328125" style="4" bestFit="1" customWidth="1"/>
    <col min="3" max="3" width="13.453125" style="4" customWidth="1"/>
    <col min="4" max="4" width="16.36328125" style="4" bestFit="1" customWidth="1"/>
    <col min="5" max="5" width="12.453125" style="4" customWidth="1"/>
    <col min="6" max="6" width="16.36328125" style="4" bestFit="1" customWidth="1"/>
    <col min="7" max="9" width="12.4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70" t="s">
        <v>349</v>
      </c>
      <c r="K1" s="578" t="s">
        <v>239</v>
      </c>
      <c r="L1" s="578"/>
    </row>
    <row r="2" spans="1:12" ht="13" x14ac:dyDescent="0.3">
      <c r="A2" s="579" t="s">
        <v>348</v>
      </c>
      <c r="B2" s="560">
        <v>45597</v>
      </c>
      <c r="C2" s="560"/>
      <c r="D2" s="560">
        <v>45934</v>
      </c>
      <c r="E2" s="560"/>
      <c r="F2" s="560">
        <v>45962</v>
      </c>
      <c r="G2" s="560"/>
      <c r="H2" s="557" t="s">
        <v>233</v>
      </c>
      <c r="I2" s="557" t="s">
        <v>299</v>
      </c>
    </row>
    <row r="3" spans="1:12" ht="13" x14ac:dyDescent="0.3">
      <c r="A3" s="580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58"/>
      <c r="I3" s="558"/>
    </row>
    <row r="4" spans="1:12" x14ac:dyDescent="0.25">
      <c r="A4" s="66" t="s">
        <v>347</v>
      </c>
      <c r="B4" s="4">
        <v>3857.6204750100001</v>
      </c>
      <c r="C4" s="82">
        <f t="shared" ref="C4:C12" si="0">(B4/$B$13)*100</f>
        <v>32.564100298216857</v>
      </c>
      <c r="D4" s="4">
        <v>4172.3134421499999</v>
      </c>
      <c r="E4" s="82">
        <f t="shared" ref="E4:E12" si="1">(D4/$D$13)*100</f>
        <v>31.619941484706803</v>
      </c>
      <c r="F4" s="4">
        <v>3882.55567426999</v>
      </c>
      <c r="G4" s="81">
        <f t="shared" ref="G4:G12" si="2">(F4/$F$13)*100</f>
        <v>38.94923928892949</v>
      </c>
      <c r="H4" s="81">
        <f t="shared" ref="H4:H12" si="3">((F4/D4)-1)*100</f>
        <v>-6.9447746890918483</v>
      </c>
      <c r="I4" s="81">
        <f t="shared" ref="I4:I10" si="4">((F4/B4)-1)*100</f>
        <v>0.64638808875892018</v>
      </c>
      <c r="K4" s="1"/>
    </row>
    <row r="5" spans="1:12" x14ac:dyDescent="0.25">
      <c r="A5" s="66" t="s">
        <v>346</v>
      </c>
      <c r="B5" s="4">
        <v>2780.2684873899998</v>
      </c>
      <c r="C5" s="80">
        <f t="shared" si="0"/>
        <v>23.469634316243855</v>
      </c>
      <c r="D5" s="4">
        <v>3411.7169982300002</v>
      </c>
      <c r="E5" s="80">
        <f t="shared" si="1"/>
        <v>25.855749655956405</v>
      </c>
      <c r="F5" s="4">
        <v>2772.65519769</v>
      </c>
      <c r="G5" s="76">
        <f t="shared" si="2"/>
        <v>27.814877575664653</v>
      </c>
      <c r="H5" s="76">
        <f t="shared" si="3"/>
        <v>-18.731383666099667</v>
      </c>
      <c r="I5" s="76">
        <f t="shared" si="4"/>
        <v>-0.27383289543906342</v>
      </c>
      <c r="K5" s="1"/>
    </row>
    <row r="6" spans="1:12" x14ac:dyDescent="0.25">
      <c r="A6" s="66" t="s">
        <v>345</v>
      </c>
      <c r="B6" s="4">
        <v>2329.6121896700001</v>
      </c>
      <c r="C6" s="79">
        <f t="shared" si="0"/>
        <v>19.665419522682782</v>
      </c>
      <c r="D6" s="4">
        <v>2002.5925511199998</v>
      </c>
      <c r="E6" s="79">
        <f t="shared" si="1"/>
        <v>15.176678397271672</v>
      </c>
      <c r="F6" s="4">
        <v>2300.3378417100002</v>
      </c>
      <c r="G6" s="76">
        <f t="shared" si="2"/>
        <v>23.076657892095415</v>
      </c>
      <c r="H6" s="76">
        <f t="shared" si="3"/>
        <v>14.867991515472223</v>
      </c>
      <c r="I6" s="76">
        <f t="shared" si="4"/>
        <v>-1.2566189381137627</v>
      </c>
      <c r="K6" s="1"/>
    </row>
    <row r="7" spans="1:12" x14ac:dyDescent="0.25">
      <c r="A7" s="66" t="s">
        <v>342</v>
      </c>
      <c r="B7" s="4">
        <v>3489.0465818899997</v>
      </c>
      <c r="C7" s="77">
        <f t="shared" si="0"/>
        <v>29.45278406049577</v>
      </c>
      <c r="D7" s="4">
        <v>3959.3472409599999</v>
      </c>
      <c r="E7" s="77">
        <f t="shared" si="1"/>
        <v>30.005973859019974</v>
      </c>
      <c r="F7" s="4">
        <v>1545.28024448</v>
      </c>
      <c r="G7" s="76">
        <f t="shared" si="2"/>
        <v>15.502028833629955</v>
      </c>
      <c r="H7" s="76">
        <f t="shared" si="3"/>
        <v>-60.971338191966083</v>
      </c>
      <c r="I7" s="76">
        <f t="shared" si="4"/>
        <v>-55.710529847872394</v>
      </c>
      <c r="K7" s="1"/>
    </row>
    <row r="8" spans="1:12" x14ac:dyDescent="0.25">
      <c r="A8" s="66" t="s">
        <v>344</v>
      </c>
      <c r="B8" s="4">
        <v>1464.23581519</v>
      </c>
      <c r="C8" s="78">
        <f t="shared" si="0"/>
        <v>12.36034551739175</v>
      </c>
      <c r="D8" s="4">
        <v>1360.8314297699999</v>
      </c>
      <c r="E8" s="78">
        <f t="shared" si="1"/>
        <v>10.313081885263196</v>
      </c>
      <c r="F8" s="4">
        <v>1355.82489667</v>
      </c>
      <c r="G8" s="76">
        <f t="shared" si="2"/>
        <v>13.601440073159315</v>
      </c>
      <c r="H8" s="76">
        <f t="shared" si="3"/>
        <v>-0.36790251830427501</v>
      </c>
      <c r="I8" s="76">
        <f t="shared" si="4"/>
        <v>-7.4039247910305033</v>
      </c>
      <c r="K8" s="289"/>
    </row>
    <row r="9" spans="1:12" x14ac:dyDescent="0.25">
      <c r="A9" s="66" t="s">
        <v>343</v>
      </c>
      <c r="B9" s="4">
        <v>1392.53888168</v>
      </c>
      <c r="C9" s="77">
        <f t="shared" si="0"/>
        <v>11.755115907838681</v>
      </c>
      <c r="D9" s="4">
        <v>1276.5253211300001</v>
      </c>
      <c r="E9" s="77">
        <f t="shared" si="1"/>
        <v>9.6741667464651719</v>
      </c>
      <c r="F9" s="4">
        <v>1282.3496768</v>
      </c>
      <c r="G9" s="76">
        <f t="shared" si="2"/>
        <v>12.864347250643274</v>
      </c>
      <c r="H9" s="76">
        <f t="shared" si="3"/>
        <v>0.45626636413635957</v>
      </c>
      <c r="I9" s="76">
        <f t="shared" si="4"/>
        <v>-7.9128278807601093</v>
      </c>
      <c r="K9" s="1"/>
    </row>
    <row r="10" spans="1:12" x14ac:dyDescent="0.25">
      <c r="A10" s="66" t="s">
        <v>340</v>
      </c>
      <c r="B10" s="4">
        <v>1.9770037199999999</v>
      </c>
      <c r="C10" s="78">
        <f t="shared" si="0"/>
        <v>1.6688875394840635E-2</v>
      </c>
      <c r="D10" s="4">
        <v>8.5310200000000003E-3</v>
      </c>
      <c r="E10" s="78">
        <f t="shared" si="1"/>
        <v>6.4652466058700683E-5</v>
      </c>
      <c r="F10" s="4">
        <v>99.675187680000008</v>
      </c>
      <c r="G10" s="76">
        <f t="shared" si="2"/>
        <v>0.99992712579639531</v>
      </c>
      <c r="H10" s="76">
        <f t="shared" si="3"/>
        <v>1168285.3475903233</v>
      </c>
      <c r="I10" s="76">
        <f t="shared" si="4"/>
        <v>4941.7299002350892</v>
      </c>
      <c r="K10" s="1"/>
    </row>
    <row r="11" spans="1:12" x14ac:dyDescent="0.25">
      <c r="A11" s="66" t="s">
        <v>341</v>
      </c>
      <c r="B11" s="4">
        <v>62.218736319999998</v>
      </c>
      <c r="C11" s="77">
        <f t="shared" si="0"/>
        <v>0.52521941520116378</v>
      </c>
      <c r="D11" s="4">
        <v>30.755748319999999</v>
      </c>
      <c r="E11" s="77">
        <f t="shared" si="1"/>
        <v>0.23308291087920791</v>
      </c>
      <c r="F11" s="4">
        <v>13.58136199</v>
      </c>
      <c r="G11" s="76">
        <f t="shared" si="2"/>
        <v>0.13624626725218633</v>
      </c>
      <c r="H11" s="76">
        <f t="shared" si="3"/>
        <v>-55.841224057721121</v>
      </c>
      <c r="I11" s="76" t="s">
        <v>240</v>
      </c>
      <c r="K11" s="1"/>
    </row>
    <row r="12" spans="1:12" x14ac:dyDescent="0.25">
      <c r="A12" s="425" t="s">
        <v>339</v>
      </c>
      <c r="B12" s="4">
        <v>3.6217842999999998</v>
      </c>
      <c r="C12" s="75">
        <f t="shared" si="0"/>
        <v>3.0573289406703851E-2</v>
      </c>
      <c r="D12" s="4">
        <v>0.65447690000000003</v>
      </c>
      <c r="E12" s="75">
        <f t="shared" si="1"/>
        <v>4.959963235750665E-3</v>
      </c>
      <c r="F12" s="4">
        <v>13.276821759999999</v>
      </c>
      <c r="G12" s="74">
        <f t="shared" si="2"/>
        <v>0.13319116353017574</v>
      </c>
      <c r="H12" s="74">
        <f t="shared" si="3"/>
        <v>1928.6157937736227</v>
      </c>
      <c r="I12" s="74">
        <f>((F12/B12)-1)*100</f>
        <v>266.58234340460308</v>
      </c>
      <c r="K12" s="1"/>
    </row>
    <row r="13" spans="1:12" s="70" customFormat="1" ht="13" x14ac:dyDescent="0.3">
      <c r="A13" s="424" t="s">
        <v>217</v>
      </c>
      <c r="B13" s="44">
        <v>11846.236928650031</v>
      </c>
      <c r="C13" s="44">
        <v>100</v>
      </c>
      <c r="D13" s="44">
        <v>13195.19659506001</v>
      </c>
      <c r="E13" s="44">
        <v>100</v>
      </c>
      <c r="F13" s="44">
        <v>9968.2451959299906</v>
      </c>
      <c r="G13" s="44">
        <v>99.999999999999986</v>
      </c>
      <c r="H13" s="147">
        <v>-3.8007003198006317</v>
      </c>
      <c r="I13" s="148">
        <v>-16.013552205807358</v>
      </c>
    </row>
    <row r="15" spans="1:12" ht="13" x14ac:dyDescent="0.3">
      <c r="B15" s="70"/>
      <c r="C15" s="70"/>
      <c r="D15" s="70"/>
      <c r="G15" s="72"/>
    </row>
    <row r="16" spans="1:12" x14ac:dyDescent="0.25">
      <c r="G16" s="72"/>
    </row>
    <row r="232" spans="1:9" s="70" customFormat="1" ht="13" x14ac:dyDescent="0.3">
      <c r="A232" s="4"/>
      <c r="B232" s="4"/>
      <c r="C232" s="4"/>
      <c r="D232" s="4"/>
      <c r="E232" s="4"/>
      <c r="F232" s="4"/>
      <c r="G232" s="4"/>
      <c r="H232" s="4"/>
      <c r="I232" s="4"/>
    </row>
    <row r="233" spans="1:9" ht="13" x14ac:dyDescent="0.3">
      <c r="A233" s="70"/>
      <c r="B233" s="70"/>
      <c r="C233" s="70"/>
      <c r="D233" s="70"/>
      <c r="E233" s="70"/>
      <c r="F233" s="70"/>
      <c r="G233" s="70"/>
      <c r="H233" s="70"/>
      <c r="I233" s="70"/>
    </row>
    <row r="239" spans="1:9" ht="13" x14ac:dyDescent="0.3">
      <c r="B239" s="69"/>
      <c r="C239" s="69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9247D6E9-EB3B-493D-90A9-853B2B8C39E8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889-4AFE-4FD8-89E6-1E9534178781}">
  <dimension ref="A1:O241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46.81640625" style="20" customWidth="1"/>
    <col min="2" max="2" width="18.453125" style="20" bestFit="1" customWidth="1"/>
    <col min="3" max="5" width="11.6328125" style="20" customWidth="1"/>
    <col min="6" max="6" width="15.453125" style="20" bestFit="1" customWidth="1"/>
    <col min="7" max="9" width="11.6328125" style="20" customWidth="1"/>
    <col min="10" max="10" width="16.1796875" style="20" bestFit="1" customWidth="1"/>
    <col min="11" max="11" width="9.453125" style="20" customWidth="1"/>
    <col min="12" max="14" width="9.1796875" style="20"/>
    <col min="15" max="15" width="9.1796875" style="426"/>
    <col min="16" max="16384" width="9.1796875" style="20"/>
  </cols>
  <sheetData>
    <row r="1" spans="1:13" ht="13" x14ac:dyDescent="0.3">
      <c r="A1" s="430" t="s">
        <v>363</v>
      </c>
      <c r="L1" s="567" t="s">
        <v>239</v>
      </c>
      <c r="M1" s="567"/>
    </row>
    <row r="2" spans="1:13" ht="13" x14ac:dyDescent="0.3">
      <c r="A2" s="84" t="s">
        <v>362</v>
      </c>
      <c r="B2" s="46" t="s">
        <v>339</v>
      </c>
      <c r="C2" s="46" t="s">
        <v>343</v>
      </c>
      <c r="D2" s="46" t="s">
        <v>340</v>
      </c>
      <c r="E2" s="46" t="s">
        <v>347</v>
      </c>
      <c r="F2" s="46" t="s">
        <v>341</v>
      </c>
      <c r="G2" s="46" t="s">
        <v>361</v>
      </c>
      <c r="H2" s="46" t="s">
        <v>345</v>
      </c>
      <c r="I2" s="46" t="s">
        <v>346</v>
      </c>
      <c r="J2" s="83" t="s">
        <v>344</v>
      </c>
      <c r="K2" s="36"/>
    </row>
    <row r="3" spans="1:13" x14ac:dyDescent="0.25">
      <c r="A3" s="429" t="s">
        <v>8</v>
      </c>
      <c r="B3" s="47">
        <v>0</v>
      </c>
      <c r="C3" s="47">
        <v>257.35653761999998</v>
      </c>
      <c r="D3" s="47">
        <v>0</v>
      </c>
      <c r="E3" s="47">
        <v>76.48252973999999</v>
      </c>
      <c r="F3" s="47">
        <v>0</v>
      </c>
      <c r="G3" s="47">
        <v>0</v>
      </c>
      <c r="H3" s="47">
        <v>279.48240156000003</v>
      </c>
      <c r="I3" s="47">
        <v>292.79949419000002</v>
      </c>
      <c r="J3" s="47">
        <v>296.64040987999999</v>
      </c>
      <c r="K3" s="36"/>
    </row>
    <row r="4" spans="1:13" x14ac:dyDescent="0.25">
      <c r="A4" s="427" t="s">
        <v>62</v>
      </c>
      <c r="B4" s="48">
        <v>0</v>
      </c>
      <c r="C4" s="48">
        <v>174.43945196999999</v>
      </c>
      <c r="D4" s="48">
        <v>0</v>
      </c>
      <c r="E4" s="48">
        <v>189.01549491</v>
      </c>
      <c r="F4" s="48">
        <v>6.3432849999999999E-2</v>
      </c>
      <c r="G4" s="48">
        <v>1.8196900000000001E-3</v>
      </c>
      <c r="H4" s="48">
        <v>3.29955015</v>
      </c>
      <c r="I4" s="48">
        <v>4.0634991300000003</v>
      </c>
      <c r="J4" s="48">
        <v>175.10972631999999</v>
      </c>
      <c r="K4" s="36"/>
    </row>
    <row r="5" spans="1:13" x14ac:dyDescent="0.25">
      <c r="A5" s="427" t="s">
        <v>85</v>
      </c>
      <c r="B5" s="48">
        <v>0</v>
      </c>
      <c r="C5" s="48">
        <v>160.06700147000001</v>
      </c>
      <c r="D5" s="48">
        <v>0</v>
      </c>
      <c r="E5" s="48">
        <v>0.81908819999999993</v>
      </c>
      <c r="F5" s="48">
        <v>0</v>
      </c>
      <c r="G5" s="48">
        <v>0</v>
      </c>
      <c r="H5" s="48">
        <v>0</v>
      </c>
      <c r="I5" s="48">
        <v>0</v>
      </c>
      <c r="J5" s="48">
        <v>160.07743561000001</v>
      </c>
      <c r="K5" s="36"/>
    </row>
    <row r="6" spans="1:13" x14ac:dyDescent="0.25">
      <c r="A6" s="427" t="s">
        <v>101</v>
      </c>
      <c r="B6" s="48">
        <v>0</v>
      </c>
      <c r="C6" s="48">
        <v>115.46204562</v>
      </c>
      <c r="D6" s="48">
        <v>0</v>
      </c>
      <c r="E6" s="48">
        <v>0.03</v>
      </c>
      <c r="F6" s="48">
        <v>0</v>
      </c>
      <c r="G6" s="48">
        <v>0</v>
      </c>
      <c r="H6" s="48">
        <v>0</v>
      </c>
      <c r="I6" s="48">
        <v>0</v>
      </c>
      <c r="J6" s="48">
        <v>115.76313969</v>
      </c>
      <c r="K6" s="36"/>
    </row>
    <row r="7" spans="1:13" x14ac:dyDescent="0.25">
      <c r="A7" s="427" t="s">
        <v>46</v>
      </c>
      <c r="B7" s="48">
        <v>0</v>
      </c>
      <c r="C7" s="48">
        <v>105.08126163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105.08126163</v>
      </c>
      <c r="K7" s="36"/>
    </row>
    <row r="8" spans="1:13" x14ac:dyDescent="0.25">
      <c r="A8" s="427" t="s">
        <v>96</v>
      </c>
      <c r="B8" s="48">
        <v>0</v>
      </c>
      <c r="C8" s="48">
        <v>102.95608954000001</v>
      </c>
      <c r="D8" s="48">
        <v>0</v>
      </c>
      <c r="E8" s="48">
        <v>0.21180662</v>
      </c>
      <c r="F8" s="48">
        <v>6.5817149999999991E-2</v>
      </c>
      <c r="G8" s="48">
        <v>0</v>
      </c>
      <c r="H8" s="48">
        <v>4.6204149999999999E-2</v>
      </c>
      <c r="I8" s="48">
        <v>0.13743851000000001</v>
      </c>
      <c r="J8" s="48">
        <v>103.09716687000001</v>
      </c>
      <c r="K8" s="36"/>
    </row>
    <row r="9" spans="1:13" x14ac:dyDescent="0.25">
      <c r="A9" s="427" t="s">
        <v>125</v>
      </c>
      <c r="B9" s="48">
        <v>0</v>
      </c>
      <c r="C9" s="48">
        <v>74.698875670000007</v>
      </c>
      <c r="D9" s="48">
        <v>0</v>
      </c>
      <c r="E9" s="48">
        <v>1.7217E-2</v>
      </c>
      <c r="F9" s="48">
        <v>0</v>
      </c>
      <c r="G9" s="48">
        <v>0</v>
      </c>
      <c r="H9" s="48">
        <v>0</v>
      </c>
      <c r="I9" s="48">
        <v>0</v>
      </c>
      <c r="J9" s="48">
        <v>74.738297840000001</v>
      </c>
      <c r="K9" s="36"/>
    </row>
    <row r="10" spans="1:13" x14ac:dyDescent="0.25">
      <c r="A10" s="427" t="s">
        <v>2</v>
      </c>
      <c r="B10" s="48">
        <v>0</v>
      </c>
      <c r="C10" s="48">
        <v>38.746052659999997</v>
      </c>
      <c r="D10" s="48">
        <v>0</v>
      </c>
      <c r="E10" s="48">
        <v>13.750930609999999</v>
      </c>
      <c r="F10" s="48">
        <v>3.7447450400000002</v>
      </c>
      <c r="G10" s="48">
        <v>0</v>
      </c>
      <c r="H10" s="48">
        <v>0</v>
      </c>
      <c r="I10" s="48">
        <v>3.7447450400000002</v>
      </c>
      <c r="J10" s="48">
        <v>38.746052659999997</v>
      </c>
      <c r="K10" s="36"/>
    </row>
    <row r="11" spans="1:13" x14ac:dyDescent="0.25">
      <c r="A11" s="427" t="s">
        <v>151</v>
      </c>
      <c r="B11" s="48">
        <v>5.6091727599999999</v>
      </c>
      <c r="C11" s="48">
        <v>43.108563240000002</v>
      </c>
      <c r="D11" s="48">
        <v>1.530375E-2</v>
      </c>
      <c r="E11" s="48">
        <v>0.95627841000000002</v>
      </c>
      <c r="F11" s="48">
        <v>1.186007E-2</v>
      </c>
      <c r="G11" s="48">
        <v>1.7465479999999999E-2</v>
      </c>
      <c r="H11" s="48">
        <v>7.3347660000000009E-2</v>
      </c>
      <c r="I11" s="48">
        <v>0.11256009</v>
      </c>
      <c r="J11" s="48">
        <v>38.472678090000002</v>
      </c>
      <c r="K11" s="36"/>
    </row>
    <row r="12" spans="1:13" x14ac:dyDescent="0.25">
      <c r="A12" s="427" t="s">
        <v>146</v>
      </c>
      <c r="B12" s="48">
        <v>0</v>
      </c>
      <c r="C12" s="48">
        <v>23.67900041</v>
      </c>
      <c r="D12" s="48">
        <v>0</v>
      </c>
      <c r="E12" s="48">
        <v>6.0131383600000001</v>
      </c>
      <c r="F12" s="48">
        <v>0</v>
      </c>
      <c r="G12" s="48">
        <v>0</v>
      </c>
      <c r="H12" s="48">
        <v>8.8001650000000001E-2</v>
      </c>
      <c r="I12" s="48">
        <v>0.83477252000000002</v>
      </c>
      <c r="J12" s="48">
        <v>24.232363039999999</v>
      </c>
      <c r="K12" s="36"/>
    </row>
    <row r="13" spans="1:13" x14ac:dyDescent="0.25">
      <c r="A13" s="427" t="s">
        <v>30</v>
      </c>
      <c r="B13" s="48">
        <v>2.7078229999999999</v>
      </c>
      <c r="C13" s="48">
        <v>24.529293339999999</v>
      </c>
      <c r="D13" s="48">
        <v>0</v>
      </c>
      <c r="E13" s="48">
        <v>150.07284819</v>
      </c>
      <c r="F13" s="48">
        <v>7.6499999999999999E-2</v>
      </c>
      <c r="G13" s="48">
        <v>2.37879E-3</v>
      </c>
      <c r="H13" s="48">
        <v>2.5634500000000001E-2</v>
      </c>
      <c r="I13" s="48">
        <v>8.2646999999999998E-2</v>
      </c>
      <c r="J13" s="48">
        <v>23.81166404</v>
      </c>
      <c r="K13" s="36"/>
    </row>
    <row r="14" spans="1:13" x14ac:dyDescent="0.25">
      <c r="A14" s="427" t="s">
        <v>177</v>
      </c>
      <c r="B14" s="48">
        <v>0</v>
      </c>
      <c r="C14" s="48">
        <v>23.608596460000001</v>
      </c>
      <c r="D14" s="48">
        <v>0</v>
      </c>
      <c r="E14" s="48">
        <v>10.23652976</v>
      </c>
      <c r="F14" s="48">
        <v>0</v>
      </c>
      <c r="G14" s="48">
        <v>0</v>
      </c>
      <c r="H14" s="48">
        <v>7.0593450000000002E-2</v>
      </c>
      <c r="I14" s="48">
        <v>7.0593450000000002E-2</v>
      </c>
      <c r="J14" s="48">
        <v>23.657309290000001</v>
      </c>
      <c r="K14" s="36"/>
    </row>
    <row r="15" spans="1:13" x14ac:dyDescent="0.25">
      <c r="A15" s="427" t="s">
        <v>84</v>
      </c>
      <c r="B15" s="48">
        <v>0</v>
      </c>
      <c r="C15" s="48">
        <v>22.7152928</v>
      </c>
      <c r="D15" s="48">
        <v>0</v>
      </c>
      <c r="E15" s="48">
        <v>2.5812140000000001E-2</v>
      </c>
      <c r="F15" s="48">
        <v>7.0994999999999999E-3</v>
      </c>
      <c r="G15" s="48">
        <v>8.9999999999999993E-3</v>
      </c>
      <c r="H15" s="48">
        <v>3.8181000000000001E-3</v>
      </c>
      <c r="I15" s="48">
        <v>1.09176E-2</v>
      </c>
      <c r="J15" s="48">
        <v>23.050881889999999</v>
      </c>
      <c r="K15" s="36"/>
    </row>
    <row r="16" spans="1:13" x14ac:dyDescent="0.25">
      <c r="A16" s="427" t="s">
        <v>15</v>
      </c>
      <c r="B16" s="48">
        <v>0</v>
      </c>
      <c r="C16" s="48">
        <v>22.920282739999998</v>
      </c>
      <c r="D16" s="48">
        <v>0</v>
      </c>
      <c r="E16" s="48">
        <v>5.3363994400000001</v>
      </c>
      <c r="F16" s="48">
        <v>0</v>
      </c>
      <c r="G16" s="48">
        <v>0</v>
      </c>
      <c r="H16" s="48">
        <v>0</v>
      </c>
      <c r="I16" s="48">
        <v>0.11563949000000001</v>
      </c>
      <c r="J16" s="48">
        <v>23.023727820000001</v>
      </c>
      <c r="K16" s="36"/>
    </row>
    <row r="17" spans="1:11" x14ac:dyDescent="0.25">
      <c r="A17" s="427" t="s">
        <v>138</v>
      </c>
      <c r="B17" s="48">
        <v>0</v>
      </c>
      <c r="C17" s="48">
        <v>19.05655939</v>
      </c>
      <c r="D17" s="48">
        <v>0</v>
      </c>
      <c r="E17" s="48">
        <v>9.4118087899999985</v>
      </c>
      <c r="F17" s="48">
        <v>4.6800939999999999E-2</v>
      </c>
      <c r="G17" s="48">
        <v>1.926371E-2</v>
      </c>
      <c r="H17" s="48">
        <v>1.0193671200000001</v>
      </c>
      <c r="I17" s="48">
        <v>1.0680882199999999</v>
      </c>
      <c r="J17" s="48">
        <v>20.9646416</v>
      </c>
      <c r="K17" s="36"/>
    </row>
    <row r="18" spans="1:11" x14ac:dyDescent="0.25">
      <c r="A18" s="427" t="s">
        <v>48</v>
      </c>
      <c r="B18" s="48">
        <v>0</v>
      </c>
      <c r="C18" s="48">
        <v>14.89057238</v>
      </c>
      <c r="D18" s="48">
        <v>0</v>
      </c>
      <c r="E18" s="48">
        <v>23.454810859999998</v>
      </c>
      <c r="F18" s="48">
        <v>0</v>
      </c>
      <c r="G18" s="48">
        <v>5.4017843299999999</v>
      </c>
      <c r="H18" s="48">
        <v>0.33267428999999998</v>
      </c>
      <c r="I18" s="48">
        <v>0.70543754000000003</v>
      </c>
      <c r="J18" s="48">
        <v>14.963925550000001</v>
      </c>
      <c r="K18" s="36"/>
    </row>
    <row r="19" spans="1:11" x14ac:dyDescent="0.25">
      <c r="A19" s="427" t="s">
        <v>179</v>
      </c>
      <c r="B19" s="48">
        <v>0</v>
      </c>
      <c r="C19" s="48">
        <v>13.59667095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13.9513116</v>
      </c>
      <c r="K19" s="36"/>
    </row>
    <row r="20" spans="1:11" x14ac:dyDescent="0.25">
      <c r="A20" s="427" t="s">
        <v>73</v>
      </c>
      <c r="B20" s="48">
        <v>0</v>
      </c>
      <c r="C20" s="48">
        <v>7.2935789500000006</v>
      </c>
      <c r="D20" s="48">
        <v>0</v>
      </c>
      <c r="E20" s="48">
        <v>1.1E-4</v>
      </c>
      <c r="F20" s="48">
        <v>0</v>
      </c>
      <c r="G20" s="48">
        <v>0</v>
      </c>
      <c r="H20" s="48">
        <v>0</v>
      </c>
      <c r="I20" s="48">
        <v>0</v>
      </c>
      <c r="J20" s="48">
        <v>7.2994519499999999</v>
      </c>
      <c r="K20" s="36"/>
    </row>
    <row r="21" spans="1:11" x14ac:dyDescent="0.25">
      <c r="A21" s="427" t="s">
        <v>63</v>
      </c>
      <c r="B21" s="48">
        <v>0</v>
      </c>
      <c r="C21" s="48">
        <v>6.6806993399999994</v>
      </c>
      <c r="D21" s="48">
        <v>0</v>
      </c>
      <c r="E21" s="48">
        <v>0</v>
      </c>
      <c r="F21" s="48">
        <v>0</v>
      </c>
      <c r="G21" s="48">
        <v>1.9063999999999998E-4</v>
      </c>
      <c r="H21" s="48">
        <v>4.2362999999999998E-4</v>
      </c>
      <c r="I21" s="48">
        <v>4.2362999999999998E-4</v>
      </c>
      <c r="J21" s="48">
        <v>6.6806993399999994</v>
      </c>
      <c r="K21" s="36"/>
    </row>
    <row r="22" spans="1:11" x14ac:dyDescent="0.25">
      <c r="A22" s="427" t="s">
        <v>27</v>
      </c>
      <c r="B22" s="48">
        <v>1.7705399999999999E-3</v>
      </c>
      <c r="C22" s="48">
        <v>1.9139094399999999</v>
      </c>
      <c r="D22" s="48">
        <v>0</v>
      </c>
      <c r="E22" s="48">
        <v>9.9153734999999994</v>
      </c>
      <c r="F22" s="48">
        <v>0</v>
      </c>
      <c r="G22" s="48">
        <v>6.90273161</v>
      </c>
      <c r="H22" s="48">
        <v>0</v>
      </c>
      <c r="I22" s="48">
        <v>2.4760863</v>
      </c>
      <c r="J22" s="48">
        <v>6.3259148099999996</v>
      </c>
      <c r="K22" s="36"/>
    </row>
    <row r="23" spans="1:11" x14ac:dyDescent="0.25">
      <c r="A23" s="427" t="s">
        <v>140</v>
      </c>
      <c r="B23" s="48">
        <v>0</v>
      </c>
      <c r="C23" s="48">
        <v>0</v>
      </c>
      <c r="D23" s="48">
        <v>0</v>
      </c>
      <c r="E23" s="48">
        <v>1.4200395700000001</v>
      </c>
      <c r="F23" s="48">
        <v>0</v>
      </c>
      <c r="G23" s="48">
        <v>0</v>
      </c>
      <c r="H23" s="48">
        <v>3.8787508700000002</v>
      </c>
      <c r="I23" s="48">
        <v>3.8787508700000002</v>
      </c>
      <c r="J23" s="48">
        <v>5.7679650000000002</v>
      </c>
      <c r="K23" s="36"/>
    </row>
    <row r="24" spans="1:11" x14ac:dyDescent="0.25">
      <c r="A24" s="427" t="s">
        <v>113</v>
      </c>
      <c r="B24" s="48">
        <v>0</v>
      </c>
      <c r="C24" s="48">
        <v>3.8936265500000102</v>
      </c>
      <c r="D24" s="48">
        <v>0</v>
      </c>
      <c r="E24" s="48">
        <v>0.82322730000000099</v>
      </c>
      <c r="F24" s="48">
        <v>4.5383339999999994E-2</v>
      </c>
      <c r="G24" s="48">
        <v>5.331E-4</v>
      </c>
      <c r="H24" s="48">
        <v>0.16182146</v>
      </c>
      <c r="I24" s="48">
        <v>0.20991053000000001</v>
      </c>
      <c r="J24" s="48">
        <v>5.57385862000001</v>
      </c>
      <c r="K24" s="36"/>
    </row>
    <row r="25" spans="1:11" x14ac:dyDescent="0.25">
      <c r="A25" s="427" t="s">
        <v>189</v>
      </c>
      <c r="B25" s="48">
        <v>0</v>
      </c>
      <c r="C25" s="48">
        <v>0.98946968000000002</v>
      </c>
      <c r="D25" s="48">
        <v>0</v>
      </c>
      <c r="E25" s="48">
        <v>0.41585424999999998</v>
      </c>
      <c r="F25" s="48">
        <v>0</v>
      </c>
      <c r="G25" s="48">
        <v>0</v>
      </c>
      <c r="H25" s="48">
        <v>0</v>
      </c>
      <c r="I25" s="48">
        <v>0</v>
      </c>
      <c r="J25" s="48">
        <v>5.2884604800000004</v>
      </c>
      <c r="K25" s="36"/>
    </row>
    <row r="26" spans="1:11" x14ac:dyDescent="0.25">
      <c r="A26" s="427" t="s">
        <v>182</v>
      </c>
      <c r="B26" s="48">
        <v>0</v>
      </c>
      <c r="C26" s="48">
        <v>4.2603928799999995</v>
      </c>
      <c r="D26" s="48">
        <v>0</v>
      </c>
      <c r="E26" s="48">
        <v>0.30654355999999999</v>
      </c>
      <c r="F26" s="48">
        <v>0</v>
      </c>
      <c r="G26" s="48">
        <v>0</v>
      </c>
      <c r="H26" s="48">
        <v>0</v>
      </c>
      <c r="I26" s="48">
        <v>0.34703746000000002</v>
      </c>
      <c r="J26" s="48">
        <v>4.2678192199999998</v>
      </c>
      <c r="K26" s="36"/>
    </row>
    <row r="27" spans="1:11" x14ac:dyDescent="0.25">
      <c r="A27" s="427" t="s">
        <v>214</v>
      </c>
      <c r="B27" s="48">
        <v>0</v>
      </c>
      <c r="C27" s="48">
        <v>6.41466E-3</v>
      </c>
      <c r="D27" s="48">
        <v>0</v>
      </c>
      <c r="E27" s="48">
        <v>0.99637106000000009</v>
      </c>
      <c r="F27" s="48">
        <v>6.6132000000000007E-4</v>
      </c>
      <c r="G27" s="48">
        <v>5.5510000000000004E-3</v>
      </c>
      <c r="H27" s="48">
        <v>0.45952811999999998</v>
      </c>
      <c r="I27" s="48">
        <v>0.46018944000000001</v>
      </c>
      <c r="J27" s="48">
        <v>4.0110866400000003</v>
      </c>
      <c r="K27" s="36"/>
    </row>
    <row r="28" spans="1:11" x14ac:dyDescent="0.25">
      <c r="A28" s="427" t="s">
        <v>158</v>
      </c>
      <c r="B28" s="48">
        <v>0</v>
      </c>
      <c r="C28" s="48">
        <v>2.2661136800000001</v>
      </c>
      <c r="D28" s="48">
        <v>0</v>
      </c>
      <c r="E28" s="48">
        <v>0.42935658000000004</v>
      </c>
      <c r="F28" s="48">
        <v>0</v>
      </c>
      <c r="G28" s="48">
        <v>1.11776948</v>
      </c>
      <c r="H28" s="48">
        <v>0.52197926000000006</v>
      </c>
      <c r="I28" s="48">
        <v>0.52197926000000006</v>
      </c>
      <c r="J28" s="48">
        <v>2.7032620600000001</v>
      </c>
      <c r="K28" s="36"/>
    </row>
    <row r="29" spans="1:11" x14ac:dyDescent="0.25">
      <c r="A29" s="427" t="s">
        <v>87</v>
      </c>
      <c r="B29" s="48">
        <v>0</v>
      </c>
      <c r="C29" s="48">
        <v>2.3609562500000001</v>
      </c>
      <c r="D29" s="48">
        <v>0</v>
      </c>
      <c r="E29" s="48">
        <v>1.9762500000000001</v>
      </c>
      <c r="F29" s="48">
        <v>0</v>
      </c>
      <c r="G29" s="48">
        <v>0</v>
      </c>
      <c r="H29" s="48">
        <v>5.1808999999999996E-3</v>
      </c>
      <c r="I29" s="48">
        <v>5.1808999999999996E-3</v>
      </c>
      <c r="J29" s="48">
        <v>2.4042426400000001</v>
      </c>
      <c r="K29" s="36"/>
    </row>
    <row r="30" spans="1:11" x14ac:dyDescent="0.25">
      <c r="A30" s="427" t="s">
        <v>58</v>
      </c>
      <c r="B30" s="48">
        <v>0</v>
      </c>
      <c r="C30" s="48">
        <v>0</v>
      </c>
      <c r="D30" s="48">
        <v>0</v>
      </c>
      <c r="E30" s="48">
        <v>1.406388</v>
      </c>
      <c r="F30" s="48">
        <v>0</v>
      </c>
      <c r="G30" s="48">
        <v>0</v>
      </c>
      <c r="H30" s="48">
        <v>1.6932050000000001</v>
      </c>
      <c r="I30" s="48">
        <v>1.693425</v>
      </c>
      <c r="J30" s="48">
        <v>1.7616400300000001</v>
      </c>
      <c r="K30" s="36"/>
    </row>
    <row r="31" spans="1:11" x14ac:dyDescent="0.25">
      <c r="A31" s="427" t="s">
        <v>9</v>
      </c>
      <c r="B31" s="48">
        <v>0</v>
      </c>
      <c r="C31" s="48">
        <v>1.59416442</v>
      </c>
      <c r="D31" s="48">
        <v>0</v>
      </c>
      <c r="E31" s="48">
        <v>1.10006648</v>
      </c>
      <c r="F31" s="48">
        <v>0</v>
      </c>
      <c r="G31" s="48">
        <v>0</v>
      </c>
      <c r="H31" s="48">
        <v>0.3042163</v>
      </c>
      <c r="I31" s="48">
        <v>0.3042163</v>
      </c>
      <c r="J31" s="48">
        <v>1.59416442</v>
      </c>
      <c r="K31" s="36"/>
    </row>
    <row r="32" spans="1:11" x14ac:dyDescent="0.25">
      <c r="A32" s="427" t="s">
        <v>97</v>
      </c>
      <c r="B32" s="48">
        <v>0.33929890000000001</v>
      </c>
      <c r="C32" s="48">
        <v>1.9216719</v>
      </c>
      <c r="D32" s="48">
        <v>0</v>
      </c>
      <c r="E32" s="48">
        <v>12.427747960000001</v>
      </c>
      <c r="F32" s="48">
        <v>0</v>
      </c>
      <c r="G32" s="48">
        <v>9.8550880000000007E-2</v>
      </c>
      <c r="H32" s="48">
        <v>1.6081363</v>
      </c>
      <c r="I32" s="48">
        <v>3.1406376600000003</v>
      </c>
      <c r="J32" s="48">
        <v>1.582373</v>
      </c>
      <c r="K32" s="36"/>
    </row>
    <row r="33" spans="1:11" x14ac:dyDescent="0.25">
      <c r="A33" s="427" t="s">
        <v>16</v>
      </c>
      <c r="B33" s="48">
        <v>0</v>
      </c>
      <c r="C33" s="48">
        <v>0</v>
      </c>
      <c r="D33" s="48">
        <v>0</v>
      </c>
      <c r="E33" s="48">
        <v>6.8209707999999996</v>
      </c>
      <c r="F33" s="48">
        <v>0</v>
      </c>
      <c r="G33" s="48">
        <v>0</v>
      </c>
      <c r="H33" s="48">
        <v>8.0000000000000007E-5</v>
      </c>
      <c r="I33" s="48">
        <v>8.0000000000000007E-5</v>
      </c>
      <c r="J33" s="48">
        <v>1.45980146</v>
      </c>
      <c r="K33" s="36"/>
    </row>
    <row r="34" spans="1:11" x14ac:dyDescent="0.25">
      <c r="A34" s="427" t="s">
        <v>156</v>
      </c>
      <c r="B34" s="48">
        <v>0</v>
      </c>
      <c r="C34" s="48">
        <v>0.97416499000000001</v>
      </c>
      <c r="D34" s="48">
        <v>0</v>
      </c>
      <c r="E34" s="48">
        <v>0.16576199999999999</v>
      </c>
      <c r="F34" s="48">
        <v>0</v>
      </c>
      <c r="G34" s="48">
        <v>0</v>
      </c>
      <c r="H34" s="48">
        <v>2.8906680000000001E-2</v>
      </c>
      <c r="I34" s="48">
        <v>3.240668E-2</v>
      </c>
      <c r="J34" s="48">
        <v>1.3279680199999999</v>
      </c>
      <c r="K34" s="36"/>
    </row>
    <row r="35" spans="1:11" x14ac:dyDescent="0.25">
      <c r="A35" s="427" t="s">
        <v>81</v>
      </c>
      <c r="B35" s="48">
        <v>3.4748019999999998E-2</v>
      </c>
      <c r="C35" s="48">
        <v>1.35994846</v>
      </c>
      <c r="D35" s="48">
        <v>0</v>
      </c>
      <c r="E35" s="48">
        <v>1.5387580900000002</v>
      </c>
      <c r="F35" s="48">
        <v>0</v>
      </c>
      <c r="G35" s="48">
        <v>7.0647100000000001E-3</v>
      </c>
      <c r="H35" s="48">
        <v>2.4800000000000001E-4</v>
      </c>
      <c r="I35" s="48">
        <v>1.593431E-2</v>
      </c>
      <c r="J35" s="48">
        <v>1.3252004399999999</v>
      </c>
      <c r="K35" s="36"/>
    </row>
    <row r="36" spans="1:11" x14ac:dyDescent="0.25">
      <c r="A36" s="427" t="s">
        <v>145</v>
      </c>
      <c r="B36" s="48">
        <v>0</v>
      </c>
      <c r="C36" s="48">
        <v>1.30493788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1.30493788</v>
      </c>
      <c r="K36" s="36"/>
    </row>
    <row r="37" spans="1:11" x14ac:dyDescent="0.25">
      <c r="A37" s="427" t="s">
        <v>176</v>
      </c>
      <c r="B37" s="48">
        <v>0</v>
      </c>
      <c r="C37" s="48">
        <v>3.27958E-2</v>
      </c>
      <c r="D37" s="48">
        <v>0</v>
      </c>
      <c r="E37" s="48">
        <v>0.3973045</v>
      </c>
      <c r="F37" s="48">
        <v>0</v>
      </c>
      <c r="G37" s="48">
        <v>0</v>
      </c>
      <c r="H37" s="48">
        <v>3.1978859999999998E-2</v>
      </c>
      <c r="I37" s="48">
        <v>3.3598860000000001E-2</v>
      </c>
      <c r="J37" s="48">
        <v>1.2578231899999999</v>
      </c>
      <c r="K37" s="36"/>
    </row>
    <row r="38" spans="1:11" x14ac:dyDescent="0.25">
      <c r="A38" s="427" t="s">
        <v>135</v>
      </c>
      <c r="B38" s="48">
        <v>0</v>
      </c>
      <c r="C38" s="48">
        <v>0.14982476</v>
      </c>
      <c r="D38" s="48">
        <v>0</v>
      </c>
      <c r="E38" s="48">
        <v>0.80329606000000009</v>
      </c>
      <c r="F38" s="48">
        <v>0</v>
      </c>
      <c r="G38" s="48">
        <v>0.83659029000000007</v>
      </c>
      <c r="H38" s="48">
        <v>4.4741919999999998E-2</v>
      </c>
      <c r="I38" s="48">
        <v>0.12776446</v>
      </c>
      <c r="J38" s="48">
        <v>1.2563393899999999</v>
      </c>
      <c r="K38" s="36"/>
    </row>
    <row r="39" spans="1:11" x14ac:dyDescent="0.25">
      <c r="A39" s="427" t="s">
        <v>215</v>
      </c>
      <c r="B39" s="48">
        <v>3.0040000000000001E-2</v>
      </c>
      <c r="C39" s="48">
        <v>4.0629999999999999E-2</v>
      </c>
      <c r="D39" s="48">
        <v>0</v>
      </c>
      <c r="E39" s="48">
        <v>0.94166700000000003</v>
      </c>
      <c r="F39" s="48">
        <v>8.9375949999999996E-2</v>
      </c>
      <c r="G39" s="48">
        <v>0.18471609999999999</v>
      </c>
      <c r="H39" s="48">
        <v>4.0413187400000004</v>
      </c>
      <c r="I39" s="48">
        <v>4.1940154999999999</v>
      </c>
      <c r="J39" s="48">
        <v>1.0852633300000001</v>
      </c>
      <c r="K39" s="36"/>
    </row>
    <row r="40" spans="1:11" x14ac:dyDescent="0.25">
      <c r="A40" s="427" t="s">
        <v>208</v>
      </c>
      <c r="B40" s="48">
        <v>0</v>
      </c>
      <c r="C40" s="48">
        <v>0.25353881</v>
      </c>
      <c r="D40" s="48">
        <v>0</v>
      </c>
      <c r="E40" s="48">
        <v>18.61277012</v>
      </c>
      <c r="F40" s="48">
        <v>0</v>
      </c>
      <c r="G40" s="48">
        <v>2.5066959999999999E-2</v>
      </c>
      <c r="H40" s="48">
        <v>6.5484999999999996E-3</v>
      </c>
      <c r="I40" s="48">
        <v>0.65126768000000002</v>
      </c>
      <c r="J40" s="48">
        <v>1.08345439</v>
      </c>
      <c r="K40" s="36"/>
    </row>
    <row r="41" spans="1:11" x14ac:dyDescent="0.25">
      <c r="A41" s="427" t="s">
        <v>88</v>
      </c>
      <c r="B41" s="48">
        <v>0</v>
      </c>
      <c r="C41" s="48">
        <v>9.6614369999999991E-2</v>
      </c>
      <c r="D41" s="48">
        <v>0</v>
      </c>
      <c r="E41" s="48">
        <v>0</v>
      </c>
      <c r="F41" s="48">
        <v>0</v>
      </c>
      <c r="G41" s="48">
        <v>0</v>
      </c>
      <c r="H41" s="48">
        <v>2.5415980000000001E-2</v>
      </c>
      <c r="I41" s="48">
        <v>2.5415980000000001E-2</v>
      </c>
      <c r="J41" s="48">
        <v>0.98636710999999999</v>
      </c>
      <c r="K41" s="36"/>
    </row>
    <row r="42" spans="1:11" x14ac:dyDescent="0.25">
      <c r="A42" s="427" t="s">
        <v>79</v>
      </c>
      <c r="B42" s="48">
        <v>0</v>
      </c>
      <c r="C42" s="48">
        <v>0.10204625000000001</v>
      </c>
      <c r="D42" s="48">
        <v>0</v>
      </c>
      <c r="E42" s="48">
        <v>0.42381638999999999</v>
      </c>
      <c r="F42" s="48">
        <v>0.26695950000000002</v>
      </c>
      <c r="G42" s="48">
        <v>0</v>
      </c>
      <c r="H42" s="48">
        <v>0.69977926000000001</v>
      </c>
      <c r="I42" s="48">
        <v>0.82832830000000002</v>
      </c>
      <c r="J42" s="48">
        <v>0.8343259300000001</v>
      </c>
      <c r="K42" s="36"/>
    </row>
    <row r="43" spans="1:11" x14ac:dyDescent="0.25">
      <c r="A43" s="427" t="s">
        <v>76</v>
      </c>
      <c r="B43" s="48">
        <v>0</v>
      </c>
      <c r="C43" s="48">
        <v>0</v>
      </c>
      <c r="D43" s="48">
        <v>0</v>
      </c>
      <c r="E43" s="48">
        <v>7.5880000000000001E-3</v>
      </c>
      <c r="F43" s="48">
        <v>0</v>
      </c>
      <c r="G43" s="48">
        <v>2.5003999999999998E-4</v>
      </c>
      <c r="H43" s="48">
        <v>2.6834E-4</v>
      </c>
      <c r="I43" s="48">
        <v>2.6834E-4</v>
      </c>
      <c r="J43" s="48">
        <v>0.61565024999999995</v>
      </c>
      <c r="K43" s="36"/>
    </row>
    <row r="44" spans="1:11" x14ac:dyDescent="0.25">
      <c r="A44" s="427" t="s">
        <v>137</v>
      </c>
      <c r="B44" s="48">
        <v>0</v>
      </c>
      <c r="C44" s="48">
        <v>4.4699760000000005E-2</v>
      </c>
      <c r="D44" s="48">
        <v>0</v>
      </c>
      <c r="E44" s="48">
        <v>0.35194324999999999</v>
      </c>
      <c r="F44" s="48">
        <v>0</v>
      </c>
      <c r="G44" s="48">
        <v>0</v>
      </c>
      <c r="H44" s="48">
        <v>0</v>
      </c>
      <c r="I44" s="48">
        <v>4.5000000000000003E-5</v>
      </c>
      <c r="J44" s="48">
        <v>0.55114437999999999</v>
      </c>
      <c r="K44" s="36"/>
    </row>
    <row r="45" spans="1:11" x14ac:dyDescent="0.25">
      <c r="A45" s="427" t="s">
        <v>0</v>
      </c>
      <c r="B45" s="48">
        <v>0</v>
      </c>
      <c r="C45" s="48">
        <v>0.28539999999999999</v>
      </c>
      <c r="D45" s="48">
        <v>0</v>
      </c>
      <c r="E45" s="48">
        <v>87.697935000000001</v>
      </c>
      <c r="F45" s="48">
        <v>0</v>
      </c>
      <c r="G45" s="48">
        <v>0</v>
      </c>
      <c r="H45" s="48">
        <v>0</v>
      </c>
      <c r="I45" s="48">
        <v>0</v>
      </c>
      <c r="J45" s="48">
        <v>0.47027624000000001</v>
      </c>
      <c r="K45" s="36"/>
    </row>
    <row r="46" spans="1:11" x14ac:dyDescent="0.25">
      <c r="A46" s="427" t="s">
        <v>368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0.4566133</v>
      </c>
      <c r="K46" s="36"/>
    </row>
    <row r="47" spans="1:11" x14ac:dyDescent="0.25">
      <c r="A47" s="427" t="s">
        <v>126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0.42510734999999999</v>
      </c>
      <c r="K47" s="36"/>
    </row>
    <row r="48" spans="1:11" x14ac:dyDescent="0.25">
      <c r="A48" s="427" t="s">
        <v>69</v>
      </c>
      <c r="B48" s="48">
        <v>0</v>
      </c>
      <c r="C48" s="48">
        <v>0.40548600000000001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0.40548600000000001</v>
      </c>
      <c r="K48" s="36"/>
    </row>
    <row r="49" spans="1:11" x14ac:dyDescent="0.25">
      <c r="A49" s="427" t="s">
        <v>5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0.38279871999999998</v>
      </c>
      <c r="K49" s="36"/>
    </row>
    <row r="50" spans="1:11" x14ac:dyDescent="0.25">
      <c r="A50" s="427" t="s">
        <v>181</v>
      </c>
      <c r="B50" s="48">
        <v>0</v>
      </c>
      <c r="C50" s="48">
        <v>0</v>
      </c>
      <c r="D50" s="48">
        <v>0</v>
      </c>
      <c r="E50" s="48">
        <v>5.33345E-2</v>
      </c>
      <c r="F50" s="48">
        <v>0</v>
      </c>
      <c r="G50" s="48">
        <v>0</v>
      </c>
      <c r="H50" s="48">
        <v>0</v>
      </c>
      <c r="I50" s="48">
        <v>0</v>
      </c>
      <c r="J50" s="48">
        <v>0.37796173999999999</v>
      </c>
      <c r="K50" s="36"/>
    </row>
    <row r="51" spans="1:11" x14ac:dyDescent="0.25">
      <c r="A51" s="427" t="s">
        <v>144</v>
      </c>
      <c r="B51" s="48">
        <v>0</v>
      </c>
      <c r="C51" s="48">
        <v>0</v>
      </c>
      <c r="D51" s="48">
        <v>0</v>
      </c>
      <c r="E51" s="48">
        <v>5.9839499999999997E-2</v>
      </c>
      <c r="F51" s="48">
        <v>0</v>
      </c>
      <c r="G51" s="48">
        <v>0</v>
      </c>
      <c r="H51" s="48">
        <v>0</v>
      </c>
      <c r="I51" s="48">
        <v>0</v>
      </c>
      <c r="J51" s="48">
        <v>0.37122404999999997</v>
      </c>
      <c r="K51" s="36"/>
    </row>
    <row r="52" spans="1:11" x14ac:dyDescent="0.25">
      <c r="A52" s="427" t="s">
        <v>18</v>
      </c>
      <c r="B52" s="48">
        <v>2.64</v>
      </c>
      <c r="C52" s="48">
        <v>2.6472317999999997</v>
      </c>
      <c r="D52" s="48">
        <v>0</v>
      </c>
      <c r="E52" s="48">
        <v>27.477644079999997</v>
      </c>
      <c r="F52" s="48">
        <v>2.577</v>
      </c>
      <c r="G52" s="48">
        <v>14.381648999999999</v>
      </c>
      <c r="H52" s="48">
        <v>283.03410466000003</v>
      </c>
      <c r="I52" s="48">
        <v>399.45737500999996</v>
      </c>
      <c r="J52" s="48">
        <v>0.36136180000000001</v>
      </c>
      <c r="K52" s="36"/>
    </row>
    <row r="53" spans="1:11" x14ac:dyDescent="0.25">
      <c r="A53" s="427" t="s">
        <v>202</v>
      </c>
      <c r="B53" s="48">
        <v>7.5619389999999995E-2</v>
      </c>
      <c r="C53" s="48">
        <v>7.5619389999999995E-2</v>
      </c>
      <c r="D53" s="48">
        <v>0</v>
      </c>
      <c r="E53" s="48">
        <v>0.49870801000000003</v>
      </c>
      <c r="F53" s="48">
        <v>1.8269549999999999E-2</v>
      </c>
      <c r="G53" s="48">
        <v>0</v>
      </c>
      <c r="H53" s="48">
        <v>0.47643912999999999</v>
      </c>
      <c r="I53" s="48">
        <v>0.75974489000000001</v>
      </c>
      <c r="J53" s="48">
        <v>0.34712358000000004</v>
      </c>
      <c r="K53" s="36"/>
    </row>
    <row r="54" spans="1:11" x14ac:dyDescent="0.25">
      <c r="A54" s="427" t="s">
        <v>153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0.31825398999999999</v>
      </c>
      <c r="K54" s="36"/>
    </row>
    <row r="55" spans="1:11" x14ac:dyDescent="0.25">
      <c r="A55" s="427" t="s">
        <v>112</v>
      </c>
      <c r="B55" s="48">
        <v>0</v>
      </c>
      <c r="C55" s="48">
        <v>0</v>
      </c>
      <c r="D55" s="48">
        <v>0</v>
      </c>
      <c r="E55" s="48">
        <v>0.16367709999999999</v>
      </c>
      <c r="F55" s="48">
        <v>9.1460799999999991E-3</v>
      </c>
      <c r="G55" s="48">
        <v>0</v>
      </c>
      <c r="H55" s="48">
        <v>1.3283240000000001</v>
      </c>
      <c r="I55" s="48">
        <v>1.28807658</v>
      </c>
      <c r="J55" s="48">
        <v>0.30705692000000001</v>
      </c>
      <c r="K55" s="36"/>
    </row>
    <row r="56" spans="1:11" x14ac:dyDescent="0.25">
      <c r="A56" s="427" t="s">
        <v>116</v>
      </c>
      <c r="B56" s="48">
        <v>0</v>
      </c>
      <c r="C56" s="48">
        <v>0.30308757000000003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0.30308757000000003</v>
      </c>
      <c r="K56" s="36"/>
    </row>
    <row r="57" spans="1:11" x14ac:dyDescent="0.25">
      <c r="A57" s="427" t="s">
        <v>171</v>
      </c>
      <c r="B57" s="48">
        <v>0</v>
      </c>
      <c r="C57" s="48">
        <v>4.0171599999999997E-3</v>
      </c>
      <c r="D57" s="48">
        <v>0</v>
      </c>
      <c r="E57" s="48">
        <v>1.8834264999999999</v>
      </c>
      <c r="F57" s="48">
        <v>0</v>
      </c>
      <c r="G57" s="48">
        <v>0</v>
      </c>
      <c r="H57" s="48">
        <v>0.17447491000000001</v>
      </c>
      <c r="I57" s="48">
        <v>0.19422491</v>
      </c>
      <c r="J57" s="48">
        <v>0.29050064000000003</v>
      </c>
      <c r="K57" s="36"/>
    </row>
    <row r="58" spans="1:11" x14ac:dyDescent="0.25">
      <c r="A58" s="427" t="s">
        <v>180</v>
      </c>
      <c r="B58" s="48">
        <v>0</v>
      </c>
      <c r="C58" s="48">
        <v>0.17599604999999999</v>
      </c>
      <c r="D58" s="48">
        <v>0</v>
      </c>
      <c r="E58" s="48">
        <v>1.0616767900000001</v>
      </c>
      <c r="F58" s="48">
        <v>0</v>
      </c>
      <c r="G58" s="48">
        <v>0</v>
      </c>
      <c r="H58" s="48">
        <v>7.0825100000000002E-3</v>
      </c>
      <c r="I58" s="48">
        <v>8.2237500000000002E-3</v>
      </c>
      <c r="J58" s="48">
        <v>0.28512096000000003</v>
      </c>
      <c r="K58" s="36"/>
    </row>
    <row r="59" spans="1:11" x14ac:dyDescent="0.25">
      <c r="A59" s="427" t="s">
        <v>29</v>
      </c>
      <c r="B59" s="48">
        <v>0</v>
      </c>
      <c r="C59" s="48">
        <v>5.3520440000000002E-2</v>
      </c>
      <c r="D59" s="48">
        <v>0</v>
      </c>
      <c r="E59" s="48">
        <v>8.593975999999999E-2</v>
      </c>
      <c r="F59" s="48">
        <v>0</v>
      </c>
      <c r="G59" s="48">
        <v>0</v>
      </c>
      <c r="H59" s="48">
        <v>3.3450100000000003E-3</v>
      </c>
      <c r="I59" s="48">
        <v>3.3350100000000002E-3</v>
      </c>
      <c r="J59" s="48">
        <v>0.27935948999999999</v>
      </c>
      <c r="K59" s="36"/>
    </row>
    <row r="60" spans="1:11" x14ac:dyDescent="0.25">
      <c r="A60" s="427" t="s">
        <v>80</v>
      </c>
      <c r="B60" s="48">
        <v>0</v>
      </c>
      <c r="C60" s="48">
        <v>2.624E-3</v>
      </c>
      <c r="D60" s="48">
        <v>0</v>
      </c>
      <c r="E60" s="48">
        <v>9.2395084000000001</v>
      </c>
      <c r="F60" s="48">
        <v>0</v>
      </c>
      <c r="G60" s="48">
        <v>6.6E-3</v>
      </c>
      <c r="H60" s="48">
        <v>1.1602649999999999E-2</v>
      </c>
      <c r="I60" s="48">
        <v>1.3247209999999999E-2</v>
      </c>
      <c r="J60" s="48">
        <v>0.27706856000000002</v>
      </c>
      <c r="K60" s="36"/>
    </row>
    <row r="61" spans="1:11" x14ac:dyDescent="0.25">
      <c r="A61" s="427" t="s">
        <v>168</v>
      </c>
      <c r="B61" s="48">
        <v>0</v>
      </c>
      <c r="C61" s="48">
        <v>0</v>
      </c>
      <c r="D61" s="48">
        <v>0</v>
      </c>
      <c r="E61" s="48">
        <v>7.9853499999999994E-2</v>
      </c>
      <c r="F61" s="48">
        <v>0</v>
      </c>
      <c r="G61" s="48">
        <v>0</v>
      </c>
      <c r="H61" s="48">
        <v>0</v>
      </c>
      <c r="I61" s="48">
        <v>0</v>
      </c>
      <c r="J61" s="48">
        <v>0.24237307999999999</v>
      </c>
      <c r="K61" s="36"/>
    </row>
    <row r="62" spans="1:11" x14ac:dyDescent="0.25">
      <c r="A62" s="427" t="s">
        <v>117</v>
      </c>
      <c r="B62" s="48">
        <v>0</v>
      </c>
      <c r="C62" s="48">
        <v>0</v>
      </c>
      <c r="D62" s="48">
        <v>0</v>
      </c>
      <c r="E62" s="48">
        <v>4.5933584299999994</v>
      </c>
      <c r="F62" s="48">
        <v>0</v>
      </c>
      <c r="G62" s="48">
        <v>0</v>
      </c>
      <c r="H62" s="48">
        <v>6.1972099999999999E-3</v>
      </c>
      <c r="I62" s="48">
        <v>6.1972099999999999E-3</v>
      </c>
      <c r="J62" s="48">
        <v>0.23062842</v>
      </c>
      <c r="K62" s="36"/>
    </row>
    <row r="63" spans="1:11" x14ac:dyDescent="0.25">
      <c r="A63" s="427" t="s">
        <v>64</v>
      </c>
      <c r="B63" s="48">
        <v>0</v>
      </c>
      <c r="C63" s="48">
        <v>0.230375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8.7711600000000001E-3</v>
      </c>
      <c r="J63" s="48">
        <v>0.230375</v>
      </c>
      <c r="K63" s="36"/>
    </row>
    <row r="64" spans="1:11" x14ac:dyDescent="0.25">
      <c r="A64" s="427" t="s">
        <v>115</v>
      </c>
      <c r="B64" s="48">
        <v>0</v>
      </c>
      <c r="C64" s="48">
        <v>0.13841265</v>
      </c>
      <c r="D64" s="48">
        <v>0</v>
      </c>
      <c r="E64" s="48">
        <v>25.623204899999998</v>
      </c>
      <c r="F64" s="48">
        <v>0</v>
      </c>
      <c r="G64" s="48">
        <v>2.6345289300000001</v>
      </c>
      <c r="H64" s="48">
        <v>0.95395512000000005</v>
      </c>
      <c r="I64" s="48">
        <v>21.76568816</v>
      </c>
      <c r="J64" s="48">
        <v>0.21922467000000001</v>
      </c>
      <c r="K64" s="36"/>
    </row>
    <row r="65" spans="1:11" x14ac:dyDescent="0.25">
      <c r="A65" s="427" t="s">
        <v>134</v>
      </c>
      <c r="B65" s="48">
        <v>0</v>
      </c>
      <c r="C65" s="48">
        <v>8.6764660000000007E-2</v>
      </c>
      <c r="D65" s="48">
        <v>0</v>
      </c>
      <c r="E65" s="48">
        <v>1.3395569599999999</v>
      </c>
      <c r="F65" s="48">
        <v>0.58341514000000005</v>
      </c>
      <c r="G65" s="48">
        <v>1.210024E-2</v>
      </c>
      <c r="H65" s="48">
        <v>7.4711559999999996E-2</v>
      </c>
      <c r="I65" s="48">
        <v>0.65812669999999995</v>
      </c>
      <c r="J65" s="48">
        <v>0.21506600000000001</v>
      </c>
      <c r="K65" s="36"/>
    </row>
    <row r="66" spans="1:11" x14ac:dyDescent="0.25">
      <c r="A66" s="427" t="s">
        <v>133</v>
      </c>
      <c r="B66" s="48">
        <v>0</v>
      </c>
      <c r="C66" s="48">
        <v>1.3555000000000002E-4</v>
      </c>
      <c r="D66" s="48">
        <v>0</v>
      </c>
      <c r="E66" s="48">
        <v>1.0018000000000001E-2</v>
      </c>
      <c r="F66" s="48">
        <v>3.2475999999999998E-3</v>
      </c>
      <c r="G66" s="48">
        <v>3.0000000000000001E-6</v>
      </c>
      <c r="H66" s="48">
        <v>4.6399999999999997E-2</v>
      </c>
      <c r="I66" s="48">
        <v>4.96476E-2</v>
      </c>
      <c r="J66" s="48">
        <v>0.21229161999999999</v>
      </c>
      <c r="K66" s="36"/>
    </row>
    <row r="67" spans="1:11" x14ac:dyDescent="0.25">
      <c r="A67" s="427" t="s">
        <v>131</v>
      </c>
      <c r="B67" s="48">
        <v>0</v>
      </c>
      <c r="C67" s="48">
        <v>8.6728369999999999E-2</v>
      </c>
      <c r="D67" s="48">
        <v>0</v>
      </c>
      <c r="E67" s="48">
        <v>2.13215909</v>
      </c>
      <c r="F67" s="48">
        <v>0.32000909000000005</v>
      </c>
      <c r="G67" s="48">
        <v>0</v>
      </c>
      <c r="H67" s="48">
        <v>0</v>
      </c>
      <c r="I67" s="48">
        <v>0.39626234000000005</v>
      </c>
      <c r="J67" s="48">
        <v>0.20687245000000001</v>
      </c>
      <c r="K67" s="36"/>
    </row>
    <row r="68" spans="1:11" x14ac:dyDescent="0.25">
      <c r="A68" s="427" t="s">
        <v>132</v>
      </c>
      <c r="B68" s="48">
        <v>0</v>
      </c>
      <c r="C68" s="48">
        <v>0</v>
      </c>
      <c r="D68" s="48">
        <v>0</v>
      </c>
      <c r="E68" s="48">
        <v>0.75791134999999998</v>
      </c>
      <c r="F68" s="48">
        <v>0</v>
      </c>
      <c r="G68" s="48">
        <v>0</v>
      </c>
      <c r="H68" s="48">
        <v>7.7236960000000007E-2</v>
      </c>
      <c r="I68" s="48">
        <v>7.7236960000000007E-2</v>
      </c>
      <c r="J68" s="48">
        <v>0.20516585999999998</v>
      </c>
      <c r="K68" s="36"/>
    </row>
    <row r="69" spans="1:11" x14ac:dyDescent="0.25">
      <c r="A69" s="427" t="s">
        <v>162</v>
      </c>
      <c r="B69" s="48">
        <v>0</v>
      </c>
      <c r="C69" s="48">
        <v>0.1606427</v>
      </c>
      <c r="D69" s="48">
        <v>0</v>
      </c>
      <c r="E69" s="48">
        <v>0.54845790000000005</v>
      </c>
      <c r="F69" s="48">
        <v>0</v>
      </c>
      <c r="G69" s="48">
        <v>0</v>
      </c>
      <c r="H69" s="48">
        <v>2.6736919999999997E-2</v>
      </c>
      <c r="I69" s="48">
        <v>0.11984821000000001</v>
      </c>
      <c r="J69" s="48">
        <v>0.18966689</v>
      </c>
      <c r="K69" s="36"/>
    </row>
    <row r="70" spans="1:11" x14ac:dyDescent="0.25">
      <c r="A70" s="427" t="s">
        <v>353</v>
      </c>
      <c r="B70" s="48">
        <v>0</v>
      </c>
      <c r="C70" s="48">
        <v>0.17791057000000002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0.17791057000000002</v>
      </c>
      <c r="K70" s="36"/>
    </row>
    <row r="71" spans="1:11" x14ac:dyDescent="0.25">
      <c r="A71" s="427" t="s">
        <v>178</v>
      </c>
      <c r="B71" s="48">
        <v>0</v>
      </c>
      <c r="C71" s="48">
        <v>2.9467299999999998E-3</v>
      </c>
      <c r="D71" s="48">
        <v>0</v>
      </c>
      <c r="E71" s="48">
        <v>4.3686972699999993</v>
      </c>
      <c r="F71" s="48">
        <v>0</v>
      </c>
      <c r="G71" s="48">
        <v>0</v>
      </c>
      <c r="H71" s="48">
        <v>5.0277599999999999E-2</v>
      </c>
      <c r="I71" s="48">
        <v>5.0277599999999999E-2</v>
      </c>
      <c r="J71" s="48">
        <v>0.17750819000000001</v>
      </c>
      <c r="K71" s="36"/>
    </row>
    <row r="72" spans="1:11" x14ac:dyDescent="0.25">
      <c r="A72" s="427" t="s">
        <v>157</v>
      </c>
      <c r="B72" s="48">
        <v>0</v>
      </c>
      <c r="C72" s="48">
        <v>0</v>
      </c>
      <c r="D72" s="48">
        <v>0</v>
      </c>
      <c r="E72" s="48">
        <v>1.1056780400000001</v>
      </c>
      <c r="F72" s="48">
        <v>0</v>
      </c>
      <c r="G72" s="48">
        <v>0</v>
      </c>
      <c r="H72" s="48">
        <v>1.00488778</v>
      </c>
      <c r="I72" s="48">
        <v>1.1845589599999999</v>
      </c>
      <c r="J72" s="48">
        <v>0.16044082000000001</v>
      </c>
      <c r="K72" s="36"/>
    </row>
    <row r="73" spans="1:11" x14ac:dyDescent="0.25">
      <c r="A73" s="427" t="s">
        <v>119</v>
      </c>
      <c r="B73" s="48">
        <v>0</v>
      </c>
      <c r="C73" s="48">
        <v>2.1756499999999999E-3</v>
      </c>
      <c r="D73" s="48">
        <v>0</v>
      </c>
      <c r="E73" s="48">
        <v>0.8118386700000001</v>
      </c>
      <c r="F73" s="48">
        <v>4.3530000000000001E-4</v>
      </c>
      <c r="G73" s="48">
        <v>0</v>
      </c>
      <c r="H73" s="48">
        <v>4.0000000000000002E-4</v>
      </c>
      <c r="I73" s="48">
        <v>4.4227099999999998E-3</v>
      </c>
      <c r="J73" s="48">
        <v>0.14864811999999999</v>
      </c>
      <c r="K73" s="36"/>
    </row>
    <row r="74" spans="1:11" x14ac:dyDescent="0.25">
      <c r="A74" s="427" t="s">
        <v>89</v>
      </c>
      <c r="B74" s="48">
        <v>0</v>
      </c>
      <c r="C74" s="48">
        <v>0.10903144000000001</v>
      </c>
      <c r="D74" s="48">
        <v>0</v>
      </c>
      <c r="E74" s="48">
        <v>8.5787100000000005E-2</v>
      </c>
      <c r="F74" s="48">
        <v>5.4561849999999995E-2</v>
      </c>
      <c r="G74" s="48">
        <v>0</v>
      </c>
      <c r="H74" s="48">
        <v>1.37089E-3</v>
      </c>
      <c r="I74" s="48">
        <v>5.5932739999999995E-2</v>
      </c>
      <c r="J74" s="48">
        <v>0.14353452</v>
      </c>
      <c r="K74" s="36"/>
    </row>
    <row r="75" spans="1:11" x14ac:dyDescent="0.25">
      <c r="A75" s="427" t="s">
        <v>209</v>
      </c>
      <c r="B75" s="48">
        <v>0</v>
      </c>
      <c r="C75" s="48">
        <v>0</v>
      </c>
      <c r="D75" s="48">
        <v>0</v>
      </c>
      <c r="E75" s="48">
        <v>3.7632739999999998E-2</v>
      </c>
      <c r="F75" s="48">
        <v>5.428293E-2</v>
      </c>
      <c r="G75" s="48">
        <v>0</v>
      </c>
      <c r="H75" s="48">
        <v>2.7E-4</v>
      </c>
      <c r="I75" s="48">
        <v>5.7317930000000003E-2</v>
      </c>
      <c r="J75" s="48">
        <v>0.12911972999999999</v>
      </c>
      <c r="K75" s="36"/>
    </row>
    <row r="76" spans="1:11" x14ac:dyDescent="0.25">
      <c r="A76" s="427" t="s">
        <v>150</v>
      </c>
      <c r="B76" s="48">
        <v>0</v>
      </c>
      <c r="C76" s="48">
        <v>3.8600100000000001E-3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0.11635395</v>
      </c>
      <c r="K76" s="36"/>
    </row>
    <row r="77" spans="1:11" x14ac:dyDescent="0.25">
      <c r="A77" s="427" t="s">
        <v>184</v>
      </c>
      <c r="B77" s="48">
        <v>0</v>
      </c>
      <c r="C77" s="48">
        <v>5.3922999999999999E-2</v>
      </c>
      <c r="D77" s="48">
        <v>0</v>
      </c>
      <c r="E77" s="48">
        <v>6.5466490000000002E-2</v>
      </c>
      <c r="F77" s="48">
        <v>0</v>
      </c>
      <c r="G77" s="48">
        <v>0</v>
      </c>
      <c r="H77" s="48">
        <v>0.22365216000000002</v>
      </c>
      <c r="I77" s="48">
        <v>0.75020706000000004</v>
      </c>
      <c r="J77" s="48">
        <v>0.11150500000000001</v>
      </c>
      <c r="K77" s="36"/>
    </row>
    <row r="78" spans="1:11" x14ac:dyDescent="0.25">
      <c r="A78" s="427" t="s">
        <v>173</v>
      </c>
      <c r="B78" s="48">
        <v>0</v>
      </c>
      <c r="C78" s="48">
        <v>0</v>
      </c>
      <c r="D78" s="48">
        <v>0</v>
      </c>
      <c r="E78" s="48">
        <v>0.99481401000000003</v>
      </c>
      <c r="F78" s="48">
        <v>0</v>
      </c>
      <c r="G78" s="48">
        <v>1E-4</v>
      </c>
      <c r="H78" s="48">
        <v>3.61674893</v>
      </c>
      <c r="I78" s="48">
        <v>3.61674893</v>
      </c>
      <c r="J78" s="48">
        <v>0.10929305</v>
      </c>
      <c r="K78" s="36"/>
    </row>
    <row r="79" spans="1:11" x14ac:dyDescent="0.25">
      <c r="A79" s="427" t="s">
        <v>93</v>
      </c>
      <c r="B79" s="48">
        <v>0</v>
      </c>
      <c r="C79" s="48">
        <v>8.2799999999999999E-2</v>
      </c>
      <c r="D79" s="48">
        <v>0</v>
      </c>
      <c r="E79" s="48">
        <v>0</v>
      </c>
      <c r="F79" s="48">
        <v>0</v>
      </c>
      <c r="G79" s="48">
        <v>0</v>
      </c>
      <c r="H79" s="48">
        <v>8.2989869999999993E-2</v>
      </c>
      <c r="I79" s="48">
        <v>8.2989869999999993E-2</v>
      </c>
      <c r="J79" s="48">
        <v>0.10622335000000001</v>
      </c>
      <c r="K79" s="36"/>
    </row>
    <row r="80" spans="1:11" x14ac:dyDescent="0.25">
      <c r="A80" s="427" t="s">
        <v>90</v>
      </c>
      <c r="B80" s="48">
        <v>0</v>
      </c>
      <c r="C80" s="48">
        <v>9.6088160000000006E-2</v>
      </c>
      <c r="D80" s="48">
        <v>0</v>
      </c>
      <c r="E80" s="48">
        <v>1.22751871</v>
      </c>
      <c r="F80" s="48">
        <v>0</v>
      </c>
      <c r="G80" s="48">
        <v>3.1746999999999999E-3</v>
      </c>
      <c r="H80" s="48">
        <v>4.1255500000000004E-3</v>
      </c>
      <c r="I80" s="48">
        <v>4.1255500000000004E-3</v>
      </c>
      <c r="J80" s="48">
        <v>0.10255154</v>
      </c>
      <c r="K80" s="36"/>
    </row>
    <row r="81" spans="1:11" x14ac:dyDescent="0.25">
      <c r="A81" s="427" t="s">
        <v>28</v>
      </c>
      <c r="B81" s="48">
        <v>0</v>
      </c>
      <c r="C81" s="48">
        <v>9.6357750000000006E-2</v>
      </c>
      <c r="D81" s="48">
        <v>0</v>
      </c>
      <c r="E81" s="48">
        <v>44.578624520000005</v>
      </c>
      <c r="F81" s="48">
        <v>2.2000000000000001E-3</v>
      </c>
      <c r="G81" s="48">
        <v>6.5156599999999995E-3</v>
      </c>
      <c r="H81" s="48">
        <v>9.6000000000000002E-4</v>
      </c>
      <c r="I81" s="48">
        <v>3.4640000000000001E-3</v>
      </c>
      <c r="J81" s="48">
        <v>0.10162035000000001</v>
      </c>
      <c r="K81" s="36"/>
    </row>
    <row r="82" spans="1:11" x14ac:dyDescent="0.25">
      <c r="A82" s="427" t="s">
        <v>6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9.8659639999999993E-2</v>
      </c>
      <c r="K82" s="36"/>
    </row>
    <row r="83" spans="1:11" x14ac:dyDescent="0.25">
      <c r="A83" s="427" t="s">
        <v>188</v>
      </c>
      <c r="B83" s="48">
        <v>0</v>
      </c>
      <c r="C83" s="48">
        <v>8.2799999999999999E-2</v>
      </c>
      <c r="D83" s="48">
        <v>0</v>
      </c>
      <c r="E83" s="48">
        <v>2.7485000000000001E-3</v>
      </c>
      <c r="F83" s="48">
        <v>0</v>
      </c>
      <c r="G83" s="48">
        <v>0</v>
      </c>
      <c r="H83" s="48">
        <v>0.32118361000000001</v>
      </c>
      <c r="I83" s="48">
        <v>0.32118361000000001</v>
      </c>
      <c r="J83" s="48">
        <v>9.7893580000000008E-2</v>
      </c>
      <c r="K83" s="36"/>
    </row>
    <row r="84" spans="1:11" x14ac:dyDescent="0.25">
      <c r="A84" s="427" t="s">
        <v>31</v>
      </c>
      <c r="B84" s="48">
        <v>0</v>
      </c>
      <c r="C84" s="48">
        <v>9.5303750000000007E-2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9.5663750000000006E-2</v>
      </c>
      <c r="K84" s="36"/>
    </row>
    <row r="85" spans="1:11" x14ac:dyDescent="0.25">
      <c r="A85" s="427" t="s">
        <v>129</v>
      </c>
      <c r="B85" s="48">
        <v>0</v>
      </c>
      <c r="C85" s="48">
        <v>9.5054679999999989E-2</v>
      </c>
      <c r="D85" s="48">
        <v>0</v>
      </c>
      <c r="E85" s="48">
        <v>0.16246497000000001</v>
      </c>
      <c r="F85" s="48">
        <v>0</v>
      </c>
      <c r="G85" s="48">
        <v>0</v>
      </c>
      <c r="H85" s="48">
        <v>9.3798999999999998E-4</v>
      </c>
      <c r="I85" s="48">
        <v>9.3798999999999998E-4</v>
      </c>
      <c r="J85" s="48">
        <v>9.5054679999999989E-2</v>
      </c>
      <c r="K85" s="36"/>
    </row>
    <row r="86" spans="1:11" x14ac:dyDescent="0.25">
      <c r="A86" s="427" t="s">
        <v>166</v>
      </c>
      <c r="B86" s="48">
        <v>0</v>
      </c>
      <c r="C86" s="48">
        <v>0</v>
      </c>
      <c r="D86" s="48">
        <v>0</v>
      </c>
      <c r="E86" s="48">
        <v>0.377029</v>
      </c>
      <c r="F86" s="48">
        <v>0</v>
      </c>
      <c r="G86" s="48">
        <v>0</v>
      </c>
      <c r="H86" s="48">
        <v>0.208758</v>
      </c>
      <c r="I86" s="48">
        <v>0.212535</v>
      </c>
      <c r="J86" s="48">
        <v>9.4978060000000003E-2</v>
      </c>
      <c r="K86" s="36"/>
    </row>
    <row r="87" spans="1:11" x14ac:dyDescent="0.25">
      <c r="A87" s="427" t="s">
        <v>104</v>
      </c>
      <c r="B87" s="48">
        <v>0</v>
      </c>
      <c r="C87" s="48">
        <v>4.5884230000000005E-2</v>
      </c>
      <c r="D87" s="48">
        <v>0</v>
      </c>
      <c r="E87" s="48">
        <v>6.45477262</v>
      </c>
      <c r="F87" s="48">
        <v>0</v>
      </c>
      <c r="G87" s="48">
        <v>0</v>
      </c>
      <c r="H87" s="48">
        <v>1.4827079999999999E-2</v>
      </c>
      <c r="I87" s="48">
        <v>3.064008E-2</v>
      </c>
      <c r="J87" s="48">
        <v>9.341263000000001E-2</v>
      </c>
      <c r="K87" s="36"/>
    </row>
    <row r="88" spans="1:11" x14ac:dyDescent="0.25">
      <c r="A88" s="427" t="s">
        <v>102</v>
      </c>
      <c r="B88" s="48">
        <v>6.3821219999999998E-2</v>
      </c>
      <c r="C88" s="48">
        <v>0.10166641</v>
      </c>
      <c r="D88" s="48">
        <v>0</v>
      </c>
      <c r="E88" s="48">
        <v>0.22289138</v>
      </c>
      <c r="F88" s="48">
        <v>0</v>
      </c>
      <c r="G88" s="48">
        <v>0</v>
      </c>
      <c r="H88" s="48">
        <v>2.56021426</v>
      </c>
      <c r="I88" s="48">
        <v>2.5700231900000001</v>
      </c>
      <c r="J88" s="48">
        <v>9.1438020000000009E-2</v>
      </c>
      <c r="K88" s="36"/>
    </row>
    <row r="89" spans="1:11" x14ac:dyDescent="0.25">
      <c r="A89" s="427" t="s">
        <v>66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3.3159720000000004E-2</v>
      </c>
      <c r="J89" s="48">
        <v>8.695217999999999E-2</v>
      </c>
      <c r="K89" s="36"/>
    </row>
    <row r="90" spans="1:11" x14ac:dyDescent="0.25">
      <c r="A90" s="427" t="s">
        <v>100</v>
      </c>
      <c r="B90" s="48">
        <v>0</v>
      </c>
      <c r="C90" s="48">
        <v>0</v>
      </c>
      <c r="D90" s="48">
        <v>0</v>
      </c>
      <c r="E90" s="48">
        <v>0.60043371999999995</v>
      </c>
      <c r="F90" s="48">
        <v>0</v>
      </c>
      <c r="G90" s="48">
        <v>0</v>
      </c>
      <c r="H90" s="48">
        <v>3.9248319999999996E-2</v>
      </c>
      <c r="I90" s="48">
        <v>3.9248319999999996E-2</v>
      </c>
      <c r="J90" s="48">
        <v>8.5717600000000005E-2</v>
      </c>
      <c r="K90" s="36"/>
    </row>
    <row r="91" spans="1:11" x14ac:dyDescent="0.25">
      <c r="A91" s="427" t="s">
        <v>161</v>
      </c>
      <c r="B91" s="48">
        <v>0</v>
      </c>
      <c r="C91" s="48">
        <v>0</v>
      </c>
      <c r="D91" s="48">
        <v>0</v>
      </c>
      <c r="E91" s="48">
        <v>0.15353445000000002</v>
      </c>
      <c r="F91" s="48">
        <v>1.58744E-2</v>
      </c>
      <c r="G91" s="48">
        <v>0</v>
      </c>
      <c r="H91" s="48">
        <v>0.43000650000000001</v>
      </c>
      <c r="I91" s="48">
        <v>0.44588090000000002</v>
      </c>
      <c r="J91" s="48">
        <v>8.2289100000000004E-2</v>
      </c>
      <c r="K91" s="36"/>
    </row>
    <row r="92" spans="1:11" x14ac:dyDescent="0.25">
      <c r="A92" s="427" t="s">
        <v>165</v>
      </c>
      <c r="B92" s="48">
        <v>0</v>
      </c>
      <c r="C92" s="48">
        <v>0</v>
      </c>
      <c r="D92" s="48">
        <v>0</v>
      </c>
      <c r="E92" s="48">
        <v>2.11205E-2</v>
      </c>
      <c r="F92" s="48">
        <v>0</v>
      </c>
      <c r="G92" s="48">
        <v>0</v>
      </c>
      <c r="H92" s="48">
        <v>0</v>
      </c>
      <c r="I92" s="48">
        <v>0</v>
      </c>
      <c r="J92" s="48">
        <v>7.8349990000000008E-2</v>
      </c>
      <c r="K92" s="36"/>
    </row>
    <row r="93" spans="1:11" x14ac:dyDescent="0.25">
      <c r="A93" s="427" t="s">
        <v>24</v>
      </c>
      <c r="B93" s="48">
        <v>0</v>
      </c>
      <c r="C93" s="48">
        <v>7.5474689999999997E-2</v>
      </c>
      <c r="D93" s="48">
        <v>0</v>
      </c>
      <c r="E93" s="48">
        <v>8.0000000000000007E-5</v>
      </c>
      <c r="F93" s="48">
        <v>0</v>
      </c>
      <c r="G93" s="48">
        <v>0</v>
      </c>
      <c r="H93" s="48">
        <v>0</v>
      </c>
      <c r="I93" s="48">
        <v>1.54E-4</v>
      </c>
      <c r="J93" s="48">
        <v>7.5474689999999997E-2</v>
      </c>
      <c r="K93" s="36"/>
    </row>
    <row r="94" spans="1:11" x14ac:dyDescent="0.25">
      <c r="A94" s="427" t="s">
        <v>163</v>
      </c>
      <c r="B94" s="48">
        <v>0</v>
      </c>
      <c r="C94" s="48">
        <v>1.9203229999999998E-2</v>
      </c>
      <c r="D94" s="48">
        <v>0</v>
      </c>
      <c r="E94" s="48">
        <v>0.68882562999999997</v>
      </c>
      <c r="F94" s="48">
        <v>0</v>
      </c>
      <c r="G94" s="48">
        <v>0</v>
      </c>
      <c r="H94" s="48">
        <v>0.72535039000000001</v>
      </c>
      <c r="I94" s="48">
        <v>1.10172406</v>
      </c>
      <c r="J94" s="48">
        <v>7.5423960000000012E-2</v>
      </c>
      <c r="K94" s="36"/>
    </row>
    <row r="95" spans="1:11" x14ac:dyDescent="0.25">
      <c r="A95" s="427" t="s">
        <v>127</v>
      </c>
      <c r="B95" s="48">
        <v>0</v>
      </c>
      <c r="C95" s="48">
        <v>3.0181000000000001E-3</v>
      </c>
      <c r="D95" s="48">
        <v>0</v>
      </c>
      <c r="E95" s="48">
        <v>0.93175600000000003</v>
      </c>
      <c r="F95" s="48">
        <v>0</v>
      </c>
      <c r="G95" s="48">
        <v>0</v>
      </c>
      <c r="H95" s="48">
        <v>2.5762340000000002E-2</v>
      </c>
      <c r="I95" s="48">
        <v>2.5762340000000002E-2</v>
      </c>
      <c r="J95" s="48">
        <v>7.5315300000000002E-2</v>
      </c>
      <c r="K95" s="36"/>
    </row>
    <row r="96" spans="1:11" x14ac:dyDescent="0.25">
      <c r="A96" s="427" t="s">
        <v>191</v>
      </c>
      <c r="B96" s="48">
        <v>0</v>
      </c>
      <c r="C96" s="48">
        <v>0</v>
      </c>
      <c r="D96" s="48">
        <v>0</v>
      </c>
      <c r="E96" s="48">
        <v>8.7000000000000001E-4</v>
      </c>
      <c r="F96" s="48">
        <v>0</v>
      </c>
      <c r="G96" s="48">
        <v>2.5999999999999998E-4</v>
      </c>
      <c r="H96" s="48">
        <v>3.025125E-2</v>
      </c>
      <c r="I96" s="48">
        <v>2.9154099999999999E-2</v>
      </c>
      <c r="J96" s="48">
        <v>7.4178359999999999E-2</v>
      </c>
      <c r="K96" s="36"/>
    </row>
    <row r="97" spans="1:11" x14ac:dyDescent="0.25">
      <c r="A97" s="427" t="s">
        <v>197</v>
      </c>
      <c r="B97" s="48">
        <v>0</v>
      </c>
      <c r="C97" s="48">
        <v>1.0302E-3</v>
      </c>
      <c r="D97" s="48">
        <v>0</v>
      </c>
      <c r="E97" s="48">
        <v>0.10653897999999999</v>
      </c>
      <c r="F97" s="48">
        <v>0</v>
      </c>
      <c r="G97" s="48">
        <v>1.2600000000000001E-3</v>
      </c>
      <c r="H97" s="48">
        <v>3.599815E-2</v>
      </c>
      <c r="I97" s="48">
        <v>3.6198149999999998E-2</v>
      </c>
      <c r="J97" s="48">
        <v>6.5273589999999992E-2</v>
      </c>
      <c r="K97" s="36"/>
    </row>
    <row r="98" spans="1:11" x14ac:dyDescent="0.25">
      <c r="A98" s="427" t="s">
        <v>147</v>
      </c>
      <c r="B98" s="48">
        <v>0</v>
      </c>
      <c r="C98" s="48">
        <v>1.1921909999999999E-2</v>
      </c>
      <c r="D98" s="48">
        <v>0</v>
      </c>
      <c r="E98" s="48">
        <v>3.3800000000000002E-3</v>
      </c>
      <c r="F98" s="48">
        <v>0</v>
      </c>
      <c r="G98" s="48">
        <v>0</v>
      </c>
      <c r="H98" s="48">
        <v>0</v>
      </c>
      <c r="I98" s="48">
        <v>0</v>
      </c>
      <c r="J98" s="48">
        <v>6.1507699999999998E-2</v>
      </c>
      <c r="K98" s="36"/>
    </row>
    <row r="99" spans="1:11" x14ac:dyDescent="0.25">
      <c r="A99" s="427" t="s">
        <v>120</v>
      </c>
      <c r="B99" s="48">
        <v>0</v>
      </c>
      <c r="C99" s="48">
        <v>0</v>
      </c>
      <c r="D99" s="48">
        <v>0</v>
      </c>
      <c r="E99" s="48">
        <v>5.6315999999999998E-2</v>
      </c>
      <c r="F99" s="48">
        <v>1.4E-3</v>
      </c>
      <c r="G99" s="48">
        <v>0</v>
      </c>
      <c r="H99" s="48">
        <v>6.2480000000000001E-4</v>
      </c>
      <c r="I99" s="48">
        <v>2.0298E-3</v>
      </c>
      <c r="J99" s="48">
        <v>6.1288349999999998E-2</v>
      </c>
      <c r="K99" s="36"/>
    </row>
    <row r="100" spans="1:11" x14ac:dyDescent="0.25">
      <c r="A100" s="427" t="s">
        <v>106</v>
      </c>
      <c r="B100" s="48">
        <v>0</v>
      </c>
      <c r="C100" s="48">
        <v>4.1576990000000001E-2</v>
      </c>
      <c r="D100" s="48">
        <v>0</v>
      </c>
      <c r="E100" s="48">
        <v>1.5083407099999999</v>
      </c>
      <c r="F100" s="48">
        <v>0</v>
      </c>
      <c r="G100" s="48">
        <v>1.2553999999999999E-2</v>
      </c>
      <c r="H100" s="48">
        <v>2.9207899999999999E-3</v>
      </c>
      <c r="I100" s="48">
        <v>1.4566000000000001E-2</v>
      </c>
      <c r="J100" s="48">
        <v>5.7446789999999998E-2</v>
      </c>
      <c r="K100" s="36"/>
    </row>
    <row r="101" spans="1:11" x14ac:dyDescent="0.25">
      <c r="A101" s="427" t="s">
        <v>200</v>
      </c>
      <c r="B101" s="48">
        <v>0</v>
      </c>
      <c r="C101" s="48">
        <v>1.3158649999999999E-2</v>
      </c>
      <c r="D101" s="48">
        <v>0</v>
      </c>
      <c r="E101" s="48">
        <v>3.9883183399999997</v>
      </c>
      <c r="F101" s="48">
        <v>0</v>
      </c>
      <c r="G101" s="48">
        <v>0</v>
      </c>
      <c r="H101" s="48">
        <v>0.26904591</v>
      </c>
      <c r="I101" s="48">
        <v>0.31774298000000001</v>
      </c>
      <c r="J101" s="48">
        <v>5.4724800000000004E-2</v>
      </c>
      <c r="K101" s="36"/>
    </row>
    <row r="102" spans="1:11" x14ac:dyDescent="0.25">
      <c r="A102" s="427" t="s">
        <v>193</v>
      </c>
      <c r="B102" s="48">
        <v>0</v>
      </c>
      <c r="C102" s="48">
        <v>5.6931899999999999E-3</v>
      </c>
      <c r="D102" s="48">
        <v>0</v>
      </c>
      <c r="E102" s="48">
        <v>8.7519999999999994E-3</v>
      </c>
      <c r="F102" s="48">
        <v>0</v>
      </c>
      <c r="G102" s="48">
        <v>0</v>
      </c>
      <c r="H102" s="48">
        <v>2.5382389999999998E-2</v>
      </c>
      <c r="I102" s="48">
        <v>2.817861E-2</v>
      </c>
      <c r="J102" s="48">
        <v>5.4481349999999998E-2</v>
      </c>
      <c r="K102" s="36"/>
    </row>
    <row r="103" spans="1:11" x14ac:dyDescent="0.25">
      <c r="A103" s="427" t="s">
        <v>118</v>
      </c>
      <c r="B103" s="48">
        <v>0</v>
      </c>
      <c r="C103" s="48">
        <v>0</v>
      </c>
      <c r="D103" s="48">
        <v>0</v>
      </c>
      <c r="E103" s="48">
        <v>2.5085899999999999</v>
      </c>
      <c r="F103" s="48">
        <v>0</v>
      </c>
      <c r="G103" s="48">
        <v>0</v>
      </c>
      <c r="H103" s="48">
        <v>0</v>
      </c>
      <c r="I103" s="48">
        <v>0</v>
      </c>
      <c r="J103" s="48">
        <v>5.3388769999999995E-2</v>
      </c>
      <c r="K103" s="36"/>
    </row>
    <row r="104" spans="1:11" x14ac:dyDescent="0.25">
      <c r="A104" s="427" t="s">
        <v>160</v>
      </c>
      <c r="B104" s="48">
        <v>0</v>
      </c>
      <c r="C104" s="48">
        <v>2.0897999999999999E-4</v>
      </c>
      <c r="D104" s="48">
        <v>0</v>
      </c>
      <c r="E104" s="48">
        <v>0.127224</v>
      </c>
      <c r="F104" s="48">
        <v>0</v>
      </c>
      <c r="G104" s="48">
        <v>0</v>
      </c>
      <c r="H104" s="48">
        <v>0.15431729</v>
      </c>
      <c r="I104" s="48">
        <v>0.15441729000000001</v>
      </c>
      <c r="J104" s="48">
        <v>5.157751E-2</v>
      </c>
      <c r="K104" s="36"/>
    </row>
    <row r="105" spans="1:11" x14ac:dyDescent="0.25">
      <c r="A105" s="427" t="s">
        <v>142</v>
      </c>
      <c r="B105" s="48">
        <v>0</v>
      </c>
      <c r="C105" s="48">
        <v>0</v>
      </c>
      <c r="D105" s="48">
        <v>0</v>
      </c>
      <c r="E105" s="48">
        <v>1.2819065000000001</v>
      </c>
      <c r="F105" s="48">
        <v>0</v>
      </c>
      <c r="G105" s="48">
        <v>0</v>
      </c>
      <c r="H105" s="48">
        <v>3.0197560000000002E-2</v>
      </c>
      <c r="I105" s="48">
        <v>3.0197560000000002E-2</v>
      </c>
      <c r="J105" s="48">
        <v>5.1492790000000004E-2</v>
      </c>
      <c r="K105" s="36"/>
    </row>
    <row r="106" spans="1:11" x14ac:dyDescent="0.25">
      <c r="A106" s="427" t="s">
        <v>174</v>
      </c>
      <c r="B106" s="48">
        <v>0</v>
      </c>
      <c r="C106" s="48">
        <v>0</v>
      </c>
      <c r="D106" s="48">
        <v>0</v>
      </c>
      <c r="E106" s="48">
        <v>0.25107210999999996</v>
      </c>
      <c r="F106" s="48">
        <v>0</v>
      </c>
      <c r="G106" s="48">
        <v>0</v>
      </c>
      <c r="H106" s="48">
        <v>4.7548399999999998E-3</v>
      </c>
      <c r="I106" s="48">
        <v>4.7548399999999998E-3</v>
      </c>
      <c r="J106" s="48">
        <v>4.8551839999999999E-2</v>
      </c>
      <c r="K106" s="36"/>
    </row>
    <row r="107" spans="1:11" x14ac:dyDescent="0.25">
      <c r="A107" s="427" t="s">
        <v>22</v>
      </c>
      <c r="B107" s="48">
        <v>0</v>
      </c>
      <c r="C107" s="48">
        <v>2.5656150000000003E-2</v>
      </c>
      <c r="D107" s="48">
        <v>0</v>
      </c>
      <c r="E107" s="48">
        <v>1.1400000000000001E-4</v>
      </c>
      <c r="F107" s="48">
        <v>0</v>
      </c>
      <c r="G107" s="48">
        <v>0</v>
      </c>
      <c r="H107" s="48">
        <v>0</v>
      </c>
      <c r="I107" s="48">
        <v>0</v>
      </c>
      <c r="J107" s="48">
        <v>4.8190280000000002E-2</v>
      </c>
      <c r="K107" s="36"/>
    </row>
    <row r="108" spans="1:11" x14ac:dyDescent="0.25">
      <c r="A108" s="427" t="s">
        <v>75</v>
      </c>
      <c r="B108" s="48">
        <v>0</v>
      </c>
      <c r="C108" s="48">
        <v>4.6427629999999998E-2</v>
      </c>
      <c r="D108" s="48">
        <v>0</v>
      </c>
      <c r="E108" s="48">
        <v>5.1500999999999998E-2</v>
      </c>
      <c r="F108" s="48">
        <v>0</v>
      </c>
      <c r="G108" s="48">
        <v>0</v>
      </c>
      <c r="H108" s="48">
        <v>3.6729999999999999E-2</v>
      </c>
      <c r="I108" s="48">
        <v>3.6729999999999999E-2</v>
      </c>
      <c r="J108" s="48">
        <v>4.7234529999999997E-2</v>
      </c>
      <c r="K108" s="36"/>
    </row>
    <row r="109" spans="1:11" x14ac:dyDescent="0.25">
      <c r="A109" s="427" t="s">
        <v>164</v>
      </c>
      <c r="B109" s="48">
        <v>0</v>
      </c>
      <c r="C109" s="48">
        <v>4.5184080000000001E-2</v>
      </c>
      <c r="D109" s="48">
        <v>0</v>
      </c>
      <c r="E109" s="48">
        <v>3.2592999999999997E-2</v>
      </c>
      <c r="F109" s="48">
        <v>0</v>
      </c>
      <c r="G109" s="48">
        <v>5.8314399999999994E-3</v>
      </c>
      <c r="H109" s="48">
        <v>0.80170968000000009</v>
      </c>
      <c r="I109" s="48">
        <v>0.80170968000000009</v>
      </c>
      <c r="J109" s="48">
        <v>4.5184080000000001E-2</v>
      </c>
      <c r="K109" s="36"/>
    </row>
    <row r="110" spans="1:11" x14ac:dyDescent="0.25">
      <c r="A110" s="427" t="s">
        <v>169</v>
      </c>
      <c r="B110" s="48">
        <v>0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4.4057589999999994E-2</v>
      </c>
      <c r="K110" s="36"/>
    </row>
    <row r="111" spans="1:11" x14ac:dyDescent="0.25">
      <c r="A111" s="427" t="s">
        <v>94</v>
      </c>
      <c r="B111" s="48">
        <v>0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4.3815400000000004E-2</v>
      </c>
      <c r="K111" s="36"/>
    </row>
    <row r="112" spans="1:11" x14ac:dyDescent="0.25">
      <c r="A112" s="427" t="s">
        <v>14</v>
      </c>
      <c r="B112" s="48">
        <v>0</v>
      </c>
      <c r="C112" s="48">
        <v>0</v>
      </c>
      <c r="D112" s="48">
        <v>0</v>
      </c>
      <c r="E112" s="48">
        <v>5.3999999999999998E-5</v>
      </c>
      <c r="F112" s="48">
        <v>0</v>
      </c>
      <c r="G112" s="48">
        <v>0</v>
      </c>
      <c r="H112" s="48">
        <v>0</v>
      </c>
      <c r="I112" s="48">
        <v>2.3250500399999998</v>
      </c>
      <c r="J112" s="48">
        <v>4.346618E-2</v>
      </c>
      <c r="K112" s="36"/>
    </row>
    <row r="113" spans="1:11" x14ac:dyDescent="0.25">
      <c r="A113" s="427" t="s">
        <v>74</v>
      </c>
      <c r="B113" s="48">
        <v>0</v>
      </c>
      <c r="C113" s="48">
        <v>0</v>
      </c>
      <c r="D113" s="48">
        <v>0</v>
      </c>
      <c r="E113" s="48">
        <v>5.4910000000000002E-3</v>
      </c>
      <c r="F113" s="48">
        <v>0</v>
      </c>
      <c r="G113" s="48">
        <v>0</v>
      </c>
      <c r="H113" s="48">
        <v>0.12362202</v>
      </c>
      <c r="I113" s="48">
        <v>0.12362202</v>
      </c>
      <c r="J113" s="48">
        <v>3.9800260000000004E-2</v>
      </c>
      <c r="K113" s="36"/>
    </row>
    <row r="114" spans="1:11" x14ac:dyDescent="0.25">
      <c r="A114" s="427" t="s">
        <v>44</v>
      </c>
      <c r="B114" s="48">
        <v>0</v>
      </c>
      <c r="C114" s="48">
        <v>0</v>
      </c>
      <c r="D114" s="48">
        <v>0</v>
      </c>
      <c r="E114" s="48">
        <v>0.44705299999999998</v>
      </c>
      <c r="F114" s="48">
        <v>0</v>
      </c>
      <c r="G114" s="48">
        <v>0</v>
      </c>
      <c r="H114" s="48">
        <v>0.44031900000000002</v>
      </c>
      <c r="I114" s="48">
        <v>0.44031900000000002</v>
      </c>
      <c r="J114" s="48">
        <v>3.84556E-2</v>
      </c>
      <c r="K114" s="36"/>
    </row>
    <row r="115" spans="1:11" x14ac:dyDescent="0.25">
      <c r="A115" s="427" t="s">
        <v>12</v>
      </c>
      <c r="B115" s="48">
        <v>0</v>
      </c>
      <c r="C115" s="48">
        <v>0</v>
      </c>
      <c r="D115" s="48">
        <v>0</v>
      </c>
      <c r="E115" s="48">
        <v>2.0000000000000002E-5</v>
      </c>
      <c r="F115" s="48">
        <v>0</v>
      </c>
      <c r="G115" s="48">
        <v>0</v>
      </c>
      <c r="H115" s="48">
        <v>0</v>
      </c>
      <c r="I115" s="48">
        <v>0</v>
      </c>
      <c r="J115" s="48">
        <v>3.569166E-2</v>
      </c>
      <c r="K115" s="36"/>
    </row>
    <row r="116" spans="1:11" x14ac:dyDescent="0.25">
      <c r="A116" s="427" t="s">
        <v>187</v>
      </c>
      <c r="B116" s="48">
        <v>0</v>
      </c>
      <c r="C116" s="48">
        <v>0</v>
      </c>
      <c r="D116" s="48">
        <v>0</v>
      </c>
      <c r="E116" s="48">
        <v>2.3449999999999999E-3</v>
      </c>
      <c r="F116" s="48">
        <v>0</v>
      </c>
      <c r="G116" s="48">
        <v>0</v>
      </c>
      <c r="H116" s="48">
        <v>0</v>
      </c>
      <c r="I116" s="48">
        <v>0</v>
      </c>
      <c r="J116" s="48">
        <v>3.515662E-2</v>
      </c>
      <c r="K116" s="36"/>
    </row>
    <row r="117" spans="1:11" x14ac:dyDescent="0.25">
      <c r="A117" s="427" t="s">
        <v>190</v>
      </c>
      <c r="B117" s="48">
        <v>0</v>
      </c>
      <c r="C117" s="48">
        <v>2.06252E-3</v>
      </c>
      <c r="D117" s="48">
        <v>0</v>
      </c>
      <c r="E117" s="48">
        <v>1.1188190000000001E-2</v>
      </c>
      <c r="F117" s="48">
        <v>5.6714499999999998E-3</v>
      </c>
      <c r="G117" s="48">
        <v>0</v>
      </c>
      <c r="H117" s="48">
        <v>6.4955100000000003E-3</v>
      </c>
      <c r="I117" s="48">
        <v>1.723473E-2</v>
      </c>
      <c r="J117" s="48">
        <v>3.4753699999999998E-2</v>
      </c>
      <c r="K117" s="36"/>
    </row>
    <row r="118" spans="1:11" x14ac:dyDescent="0.25">
      <c r="A118" s="427" t="s">
        <v>136</v>
      </c>
      <c r="B118" s="48">
        <v>0</v>
      </c>
      <c r="C118" s="48">
        <v>7.5000000000000002E-6</v>
      </c>
      <c r="D118" s="48">
        <v>0</v>
      </c>
      <c r="E118" s="48">
        <v>2.4045880000000002E-2</v>
      </c>
      <c r="F118" s="48">
        <v>0</v>
      </c>
      <c r="G118" s="48">
        <v>2.7212999999999998E-4</v>
      </c>
      <c r="H118" s="48">
        <v>6.3887000000000004E-4</v>
      </c>
      <c r="I118" s="48">
        <v>7.2787000000000004E-4</v>
      </c>
      <c r="J118" s="48">
        <v>3.3797399999999998E-2</v>
      </c>
      <c r="K118" s="36"/>
    </row>
    <row r="119" spans="1:11" x14ac:dyDescent="0.25">
      <c r="A119" s="427" t="s">
        <v>107</v>
      </c>
      <c r="B119" s="48">
        <v>0</v>
      </c>
      <c r="C119" s="48">
        <v>0</v>
      </c>
      <c r="D119" s="48">
        <v>0</v>
      </c>
      <c r="E119" s="48">
        <v>3.4454870000000005E-2</v>
      </c>
      <c r="F119" s="48">
        <v>0</v>
      </c>
      <c r="G119" s="48">
        <v>0</v>
      </c>
      <c r="H119" s="48">
        <v>0</v>
      </c>
      <c r="I119" s="48">
        <v>0</v>
      </c>
      <c r="J119" s="48">
        <v>3.328453E-2</v>
      </c>
      <c r="K119" s="36"/>
    </row>
    <row r="120" spans="1:11" x14ac:dyDescent="0.25">
      <c r="A120" s="427" t="s">
        <v>196</v>
      </c>
      <c r="B120" s="48">
        <v>0</v>
      </c>
      <c r="C120" s="48">
        <v>1.527909E-2</v>
      </c>
      <c r="D120" s="48">
        <v>0</v>
      </c>
      <c r="E120" s="48">
        <v>6.6194249999999996E-2</v>
      </c>
      <c r="F120" s="48">
        <v>0</v>
      </c>
      <c r="G120" s="48">
        <v>9.1878500000000009E-3</v>
      </c>
      <c r="H120" s="48">
        <v>2.5984400000000001E-2</v>
      </c>
      <c r="I120" s="48">
        <v>2.5984400000000001E-2</v>
      </c>
      <c r="J120" s="48">
        <v>3.2499810000000004E-2</v>
      </c>
      <c r="K120" s="36"/>
    </row>
    <row r="121" spans="1:11" x14ac:dyDescent="0.25">
      <c r="A121" s="427" t="s">
        <v>195</v>
      </c>
      <c r="B121" s="48">
        <v>0</v>
      </c>
      <c r="C121" s="48">
        <v>1.9234959999999999E-2</v>
      </c>
      <c r="D121" s="48">
        <v>0</v>
      </c>
      <c r="E121" s="48">
        <v>6.0865000000000002E-2</v>
      </c>
      <c r="F121" s="48">
        <v>0</v>
      </c>
      <c r="G121" s="48">
        <v>2.9486909999999998E-2</v>
      </c>
      <c r="H121" s="48">
        <v>4.2776470000000004E-2</v>
      </c>
      <c r="I121" s="48">
        <v>0.13384617000000001</v>
      </c>
      <c r="J121" s="48">
        <v>3.0348220000000002E-2</v>
      </c>
      <c r="K121" s="36"/>
    </row>
    <row r="122" spans="1:11" x14ac:dyDescent="0.25">
      <c r="A122" s="427" t="s">
        <v>143</v>
      </c>
      <c r="B122" s="48">
        <v>0</v>
      </c>
      <c r="C122" s="48">
        <v>0</v>
      </c>
      <c r="D122" s="48">
        <v>0</v>
      </c>
      <c r="E122" s="48">
        <v>6.3034000000000007E-2</v>
      </c>
      <c r="F122" s="48">
        <v>0</v>
      </c>
      <c r="G122" s="48">
        <v>0</v>
      </c>
      <c r="H122" s="48">
        <v>2.855545E-2</v>
      </c>
      <c r="I122" s="48">
        <v>1.7635400000000002E-2</v>
      </c>
      <c r="J122" s="48">
        <v>2.8563209999999999E-2</v>
      </c>
      <c r="K122" s="36"/>
    </row>
    <row r="123" spans="1:11" x14ac:dyDescent="0.25">
      <c r="A123" s="427" t="s">
        <v>21</v>
      </c>
      <c r="B123" s="48">
        <v>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2.5323990000000001E-2</v>
      </c>
      <c r="K123" s="36"/>
    </row>
    <row r="124" spans="1:11" x14ac:dyDescent="0.25">
      <c r="A124" s="427" t="s">
        <v>210</v>
      </c>
      <c r="B124" s="48">
        <v>0</v>
      </c>
      <c r="C124" s="48">
        <v>5.8799999999999998E-4</v>
      </c>
      <c r="D124" s="48">
        <v>0</v>
      </c>
      <c r="E124" s="48">
        <v>3.0651900000000002E-3</v>
      </c>
      <c r="F124" s="48">
        <v>0</v>
      </c>
      <c r="G124" s="48">
        <v>0</v>
      </c>
      <c r="H124" s="48">
        <v>1.6310999999999999E-3</v>
      </c>
      <c r="I124" s="48">
        <v>4.2910999999999999E-3</v>
      </c>
      <c r="J124" s="48">
        <v>2.5298520000000001E-2</v>
      </c>
      <c r="K124" s="36"/>
    </row>
    <row r="125" spans="1:11" x14ac:dyDescent="0.25">
      <c r="A125" s="427" t="s">
        <v>68</v>
      </c>
      <c r="B125" s="48">
        <v>0</v>
      </c>
      <c r="C125" s="48">
        <v>2.2679999999999999E-2</v>
      </c>
      <c r="D125" s="48">
        <v>0</v>
      </c>
      <c r="E125" s="48">
        <v>1.1019999999999999E-3</v>
      </c>
      <c r="F125" s="48">
        <v>0</v>
      </c>
      <c r="G125" s="48">
        <v>0</v>
      </c>
      <c r="H125" s="48">
        <v>0</v>
      </c>
      <c r="I125" s="48">
        <v>0</v>
      </c>
      <c r="J125" s="48">
        <v>2.4896959999999999E-2</v>
      </c>
      <c r="K125" s="36"/>
    </row>
    <row r="126" spans="1:11" x14ac:dyDescent="0.25">
      <c r="A126" s="427" t="s">
        <v>110</v>
      </c>
      <c r="B126" s="48">
        <v>0</v>
      </c>
      <c r="C126" s="48">
        <v>0</v>
      </c>
      <c r="D126" s="48">
        <v>0</v>
      </c>
      <c r="E126" s="48">
        <v>1E-4</v>
      </c>
      <c r="F126" s="48">
        <v>0</v>
      </c>
      <c r="G126" s="48">
        <v>2.7041000000000001E-4</v>
      </c>
      <c r="H126" s="48">
        <v>0</v>
      </c>
      <c r="I126" s="48">
        <v>0</v>
      </c>
      <c r="J126" s="48">
        <v>2.3935990000000001E-2</v>
      </c>
      <c r="K126" s="36"/>
    </row>
    <row r="127" spans="1:11" x14ac:dyDescent="0.25">
      <c r="A127" s="427" t="s">
        <v>213</v>
      </c>
      <c r="B127" s="48">
        <v>0</v>
      </c>
      <c r="C127" s="48">
        <v>0</v>
      </c>
      <c r="D127" s="48">
        <v>0</v>
      </c>
      <c r="E127" s="48">
        <v>7.0400000000000003E-3</v>
      </c>
      <c r="F127" s="48">
        <v>0</v>
      </c>
      <c r="G127" s="48">
        <v>0</v>
      </c>
      <c r="H127" s="48">
        <v>0</v>
      </c>
      <c r="I127" s="48">
        <v>5.0000000000000002E-5</v>
      </c>
      <c r="J127" s="48">
        <v>2.2501299999999998E-2</v>
      </c>
      <c r="K127" s="36"/>
    </row>
    <row r="128" spans="1:11" x14ac:dyDescent="0.25">
      <c r="A128" s="427" t="s">
        <v>83</v>
      </c>
      <c r="B128" s="48">
        <v>0</v>
      </c>
      <c r="C128" s="48">
        <v>2.8982399999999998E-3</v>
      </c>
      <c r="D128" s="48">
        <v>0</v>
      </c>
      <c r="E128" s="48">
        <v>0.82353004000000007</v>
      </c>
      <c r="F128" s="48">
        <v>0</v>
      </c>
      <c r="G128" s="48">
        <v>0</v>
      </c>
      <c r="H128" s="48">
        <v>1.5953E-3</v>
      </c>
      <c r="I128" s="48">
        <v>1.6653E-3</v>
      </c>
      <c r="J128" s="48">
        <v>2.1586549999999999E-2</v>
      </c>
      <c r="K128" s="36"/>
    </row>
    <row r="129" spans="1:11" x14ac:dyDescent="0.25">
      <c r="A129" s="427" t="s">
        <v>159</v>
      </c>
      <c r="B129" s="48">
        <v>0</v>
      </c>
      <c r="C129" s="48">
        <v>4.0665700000000003E-3</v>
      </c>
      <c r="D129" s="48">
        <v>0</v>
      </c>
      <c r="E129" s="48">
        <v>0.58310625999999999</v>
      </c>
      <c r="F129" s="48">
        <v>0</v>
      </c>
      <c r="G129" s="48">
        <v>0</v>
      </c>
      <c r="H129" s="48">
        <v>0</v>
      </c>
      <c r="I129" s="48">
        <v>0</v>
      </c>
      <c r="J129" s="48">
        <v>1.9501660000000001E-2</v>
      </c>
      <c r="K129" s="36"/>
    </row>
    <row r="130" spans="1:11" x14ac:dyDescent="0.25">
      <c r="A130" s="427" t="s">
        <v>45</v>
      </c>
      <c r="B130" s="48">
        <v>0</v>
      </c>
      <c r="C130" s="48">
        <v>0</v>
      </c>
      <c r="D130" s="48">
        <v>0</v>
      </c>
      <c r="E130" s="48">
        <v>7.3381960900000003</v>
      </c>
      <c r="F130" s="48">
        <v>0</v>
      </c>
      <c r="G130" s="48">
        <v>34.11130438</v>
      </c>
      <c r="H130" s="48">
        <v>26.559587690000001</v>
      </c>
      <c r="I130" s="48">
        <v>26.559772690000003</v>
      </c>
      <c r="J130" s="48">
        <v>1.9108970000000003E-2</v>
      </c>
      <c r="K130" s="36"/>
    </row>
    <row r="131" spans="1:11" x14ac:dyDescent="0.25">
      <c r="A131" s="427" t="s">
        <v>198</v>
      </c>
      <c r="B131" s="48">
        <v>0</v>
      </c>
      <c r="C131" s="48">
        <v>0</v>
      </c>
      <c r="D131" s="48">
        <v>0</v>
      </c>
      <c r="E131" s="48">
        <v>7.8807350000000012E-2</v>
      </c>
      <c r="F131" s="48">
        <v>0</v>
      </c>
      <c r="G131" s="48">
        <v>1.35E-4</v>
      </c>
      <c r="H131" s="48">
        <v>3.7722279999999997E-2</v>
      </c>
      <c r="I131" s="48">
        <v>0.12733883000000001</v>
      </c>
      <c r="J131" s="48">
        <v>1.7744929999999999E-2</v>
      </c>
      <c r="K131" s="36"/>
    </row>
    <row r="132" spans="1:11" x14ac:dyDescent="0.25">
      <c r="A132" s="427" t="s">
        <v>95</v>
      </c>
      <c r="B132" s="48">
        <v>0</v>
      </c>
      <c r="C132" s="48">
        <v>2.9148200000000003E-3</v>
      </c>
      <c r="D132" s="48">
        <v>0</v>
      </c>
      <c r="E132" s="48">
        <v>1.8551999999999999E-2</v>
      </c>
      <c r="F132" s="48">
        <v>2.6337779999999998E-2</v>
      </c>
      <c r="G132" s="48">
        <v>1.31759E-3</v>
      </c>
      <c r="H132" s="48">
        <v>0.22687885999999999</v>
      </c>
      <c r="I132" s="48">
        <v>0.37267074</v>
      </c>
      <c r="J132" s="48">
        <v>1.7537870000000001E-2</v>
      </c>
      <c r="K132" s="36"/>
    </row>
    <row r="133" spans="1:11" x14ac:dyDescent="0.25">
      <c r="A133" s="427" t="s">
        <v>978</v>
      </c>
      <c r="B133" s="48">
        <v>0</v>
      </c>
      <c r="C133" s="48">
        <v>0</v>
      </c>
      <c r="D133" s="48">
        <v>0</v>
      </c>
      <c r="E133" s="48">
        <v>1.165E-4</v>
      </c>
      <c r="F133" s="48">
        <v>0</v>
      </c>
      <c r="G133" s="48">
        <v>0</v>
      </c>
      <c r="H133" s="48">
        <v>3.2195187700000001</v>
      </c>
      <c r="I133" s="48">
        <v>3.2195187700000001</v>
      </c>
      <c r="J133" s="48">
        <v>1.7297730000000001E-2</v>
      </c>
      <c r="K133" s="36"/>
    </row>
    <row r="134" spans="1:11" x14ac:dyDescent="0.25">
      <c r="A134" s="427" t="s">
        <v>204</v>
      </c>
      <c r="B134" s="48">
        <v>0</v>
      </c>
      <c r="C134" s="48">
        <v>0</v>
      </c>
      <c r="D134" s="48">
        <v>0</v>
      </c>
      <c r="E134" s="48">
        <v>6.8942240000000002E-2</v>
      </c>
      <c r="F134" s="48">
        <v>0</v>
      </c>
      <c r="G134" s="48">
        <v>0</v>
      </c>
      <c r="H134" s="48">
        <v>4.0075140000000002E-2</v>
      </c>
      <c r="I134" s="48">
        <v>4.0633410000000002E-2</v>
      </c>
      <c r="J134" s="48">
        <v>1.5802210000000001E-2</v>
      </c>
      <c r="K134" s="36"/>
    </row>
    <row r="135" spans="1:11" x14ac:dyDescent="0.25">
      <c r="A135" s="427" t="s">
        <v>105</v>
      </c>
      <c r="B135" s="48">
        <v>0</v>
      </c>
      <c r="C135" s="48">
        <v>1.2583399999999999E-3</v>
      </c>
      <c r="D135" s="48">
        <v>0</v>
      </c>
      <c r="E135" s="48">
        <v>0.94533599999999995</v>
      </c>
      <c r="F135" s="48">
        <v>0</v>
      </c>
      <c r="G135" s="48">
        <v>0</v>
      </c>
      <c r="H135" s="48">
        <v>0</v>
      </c>
      <c r="I135" s="48">
        <v>0</v>
      </c>
      <c r="J135" s="48">
        <v>1.4887709999999998E-2</v>
      </c>
      <c r="K135" s="36"/>
    </row>
    <row r="136" spans="1:11" x14ac:dyDescent="0.25">
      <c r="A136" s="427" t="s">
        <v>50</v>
      </c>
      <c r="B136" s="48">
        <v>1.7745279299999999</v>
      </c>
      <c r="C136" s="48">
        <v>1.78902793</v>
      </c>
      <c r="D136" s="48">
        <v>0</v>
      </c>
      <c r="E136" s="48">
        <v>1.5034646999999999</v>
      </c>
      <c r="F136" s="48">
        <v>0</v>
      </c>
      <c r="G136" s="48">
        <v>17.328480210000002</v>
      </c>
      <c r="H136" s="48">
        <v>0</v>
      </c>
      <c r="I136" s="48">
        <v>0</v>
      </c>
      <c r="J136" s="48">
        <v>1.4500000000000001E-2</v>
      </c>
      <c r="K136" s="36"/>
    </row>
    <row r="137" spans="1:11" x14ac:dyDescent="0.25">
      <c r="A137" s="427" t="s">
        <v>17</v>
      </c>
      <c r="B137" s="48">
        <v>0</v>
      </c>
      <c r="C137" s="48">
        <v>1.4139809999999999E-2</v>
      </c>
      <c r="D137" s="48">
        <v>0</v>
      </c>
      <c r="E137" s="48">
        <v>1.2E-4</v>
      </c>
      <c r="F137" s="48">
        <v>0</v>
      </c>
      <c r="G137" s="48">
        <v>0</v>
      </c>
      <c r="H137" s="48">
        <v>37.180821549999997</v>
      </c>
      <c r="I137" s="48">
        <v>37.180821549999997</v>
      </c>
      <c r="J137" s="48">
        <v>1.4139809999999999E-2</v>
      </c>
      <c r="K137" s="36"/>
    </row>
    <row r="138" spans="1:11" x14ac:dyDescent="0.25">
      <c r="A138" s="427" t="s">
        <v>172</v>
      </c>
      <c r="B138" s="48">
        <v>0</v>
      </c>
      <c r="C138" s="48">
        <v>0</v>
      </c>
      <c r="D138" s="48">
        <v>0</v>
      </c>
      <c r="E138" s="48">
        <v>0.24618799999999999</v>
      </c>
      <c r="F138" s="48">
        <v>0</v>
      </c>
      <c r="G138" s="48">
        <v>7.2057500000000003E-3</v>
      </c>
      <c r="H138" s="48">
        <v>1.8790810000000002E-2</v>
      </c>
      <c r="I138" s="48">
        <v>1.8790810000000002E-2</v>
      </c>
      <c r="J138" s="48">
        <v>1.160573E-2</v>
      </c>
      <c r="K138" s="36"/>
    </row>
    <row r="139" spans="1:11" x14ac:dyDescent="0.25">
      <c r="A139" s="427" t="s">
        <v>199</v>
      </c>
      <c r="B139" s="48">
        <v>0</v>
      </c>
      <c r="C139" s="48">
        <v>0</v>
      </c>
      <c r="D139" s="48">
        <v>0</v>
      </c>
      <c r="E139" s="48">
        <v>4.0000000000000001E-3</v>
      </c>
      <c r="F139" s="48">
        <v>0</v>
      </c>
      <c r="G139" s="48">
        <v>0</v>
      </c>
      <c r="H139" s="48">
        <v>5.4999999999999997E-3</v>
      </c>
      <c r="I139" s="48">
        <v>5.4999999999999997E-3</v>
      </c>
      <c r="J139" s="48">
        <v>1.1461299999999999E-2</v>
      </c>
      <c r="K139" s="36"/>
    </row>
    <row r="140" spans="1:11" x14ac:dyDescent="0.25">
      <c r="A140" s="427" t="s">
        <v>130</v>
      </c>
      <c r="B140" s="48">
        <v>0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1.0808999999999999E-2</v>
      </c>
      <c r="K140" s="36"/>
    </row>
    <row r="141" spans="1:11" x14ac:dyDescent="0.25">
      <c r="A141" s="427" t="s">
        <v>205</v>
      </c>
      <c r="B141" s="48">
        <v>0</v>
      </c>
      <c r="C141" s="48">
        <v>0</v>
      </c>
      <c r="D141" s="48">
        <v>0</v>
      </c>
      <c r="E141" s="48">
        <v>0.16336339999999999</v>
      </c>
      <c r="F141" s="48">
        <v>0</v>
      </c>
      <c r="G141" s="48">
        <v>0</v>
      </c>
      <c r="H141" s="48">
        <v>0</v>
      </c>
      <c r="I141" s="48">
        <v>0</v>
      </c>
      <c r="J141" s="48">
        <v>1.0161690000000001E-2</v>
      </c>
      <c r="K141" s="36"/>
    </row>
    <row r="142" spans="1:11" x14ac:dyDescent="0.25">
      <c r="A142" s="427" t="s">
        <v>114</v>
      </c>
      <c r="B142" s="48">
        <v>0</v>
      </c>
      <c r="C142" s="48">
        <v>0</v>
      </c>
      <c r="D142" s="48">
        <v>0</v>
      </c>
      <c r="E142" s="48">
        <v>5.3922999999999999E-2</v>
      </c>
      <c r="F142" s="48">
        <v>1.0630000000000001E-2</v>
      </c>
      <c r="G142" s="48">
        <v>0</v>
      </c>
      <c r="H142" s="48">
        <v>0</v>
      </c>
      <c r="I142" s="48">
        <v>6.888437E-2</v>
      </c>
      <c r="J142" s="48">
        <v>8.2137700000000004E-3</v>
      </c>
      <c r="K142" s="36"/>
    </row>
    <row r="143" spans="1:11" x14ac:dyDescent="0.25">
      <c r="A143" s="427" t="s">
        <v>25</v>
      </c>
      <c r="B143" s="48">
        <v>0</v>
      </c>
      <c r="C143" s="48">
        <v>7.7669999999999996E-3</v>
      </c>
      <c r="D143" s="48">
        <v>0</v>
      </c>
      <c r="E143" s="48">
        <v>9.9899899999999989E-3</v>
      </c>
      <c r="F143" s="48">
        <v>0</v>
      </c>
      <c r="G143" s="48">
        <v>0</v>
      </c>
      <c r="H143" s="48">
        <v>1.5E-5</v>
      </c>
      <c r="I143" s="48">
        <v>1.4940000000000001E-3</v>
      </c>
      <c r="J143" s="48">
        <v>7.7669999999999996E-3</v>
      </c>
      <c r="K143" s="36"/>
    </row>
    <row r="144" spans="1:11" x14ac:dyDescent="0.25">
      <c r="A144" s="427" t="s">
        <v>170</v>
      </c>
      <c r="B144" s="48">
        <v>0</v>
      </c>
      <c r="C144" s="48">
        <v>0</v>
      </c>
      <c r="D144" s="48">
        <v>0</v>
      </c>
      <c r="E144" s="48">
        <v>2.663E-3</v>
      </c>
      <c r="F144" s="48">
        <v>0</v>
      </c>
      <c r="G144" s="48">
        <v>0</v>
      </c>
      <c r="H144" s="48">
        <v>0</v>
      </c>
      <c r="I144" s="48">
        <v>0</v>
      </c>
      <c r="J144" s="48">
        <v>6.0000000000000001E-3</v>
      </c>
      <c r="K144" s="36"/>
    </row>
    <row r="145" spans="1:11" x14ac:dyDescent="0.25">
      <c r="A145" s="427" t="s">
        <v>124</v>
      </c>
      <c r="B145" s="48">
        <v>0</v>
      </c>
      <c r="C145" s="48">
        <v>0</v>
      </c>
      <c r="D145" s="48">
        <v>0</v>
      </c>
      <c r="E145" s="48">
        <v>0.143759</v>
      </c>
      <c r="F145" s="48">
        <v>0</v>
      </c>
      <c r="G145" s="48">
        <v>0</v>
      </c>
      <c r="H145" s="48">
        <v>0</v>
      </c>
      <c r="I145" s="48">
        <v>0</v>
      </c>
      <c r="J145" s="48">
        <v>5.9293699999999998E-3</v>
      </c>
      <c r="K145" s="36"/>
    </row>
    <row r="146" spans="1:11" x14ac:dyDescent="0.25">
      <c r="A146" s="427" t="s">
        <v>103</v>
      </c>
      <c r="B146" s="48">
        <v>0</v>
      </c>
      <c r="C146" s="48">
        <v>0</v>
      </c>
      <c r="D146" s="48">
        <v>0</v>
      </c>
      <c r="E146" s="48">
        <v>1.3505993000000001</v>
      </c>
      <c r="F146" s="48">
        <v>0</v>
      </c>
      <c r="G146" s="48">
        <v>0</v>
      </c>
      <c r="H146" s="48">
        <v>0</v>
      </c>
      <c r="I146" s="48">
        <v>0</v>
      </c>
      <c r="J146" s="48">
        <v>5.5843799999999999E-3</v>
      </c>
      <c r="K146" s="36"/>
    </row>
    <row r="147" spans="1:11" x14ac:dyDescent="0.25">
      <c r="A147" s="427" t="s">
        <v>4</v>
      </c>
      <c r="B147" s="48">
        <v>0</v>
      </c>
      <c r="C147" s="48">
        <v>5.4938000000000001E-3</v>
      </c>
      <c r="D147" s="48">
        <v>0</v>
      </c>
      <c r="E147" s="48">
        <v>1.4858248600000001</v>
      </c>
      <c r="F147" s="48">
        <v>0</v>
      </c>
      <c r="G147" s="48">
        <v>0</v>
      </c>
      <c r="H147" s="48">
        <v>3.2807557300000001</v>
      </c>
      <c r="I147" s="48">
        <v>3.2807557300000001</v>
      </c>
      <c r="J147" s="48">
        <v>5.4938000000000001E-3</v>
      </c>
      <c r="K147" s="36"/>
    </row>
    <row r="148" spans="1:11" x14ac:dyDescent="0.25">
      <c r="A148" s="427" t="s">
        <v>108</v>
      </c>
      <c r="B148" s="48">
        <v>0</v>
      </c>
      <c r="C148" s="48">
        <v>0</v>
      </c>
      <c r="D148" s="48">
        <v>0</v>
      </c>
      <c r="E148" s="48">
        <v>2.5000000000000001E-4</v>
      </c>
      <c r="F148" s="48">
        <v>0</v>
      </c>
      <c r="G148" s="48">
        <v>0</v>
      </c>
      <c r="H148" s="48">
        <v>0</v>
      </c>
      <c r="I148" s="48">
        <v>0</v>
      </c>
      <c r="J148" s="48">
        <v>5.0159999999999996E-3</v>
      </c>
      <c r="K148" s="36"/>
    </row>
    <row r="149" spans="1:11" x14ac:dyDescent="0.25">
      <c r="A149" s="427" t="s">
        <v>40</v>
      </c>
      <c r="B149" s="48">
        <v>0</v>
      </c>
      <c r="C149" s="48">
        <v>5.0000000000000001E-3</v>
      </c>
      <c r="D149" s="48">
        <v>0</v>
      </c>
      <c r="E149" s="48">
        <v>3.0850599999999999</v>
      </c>
      <c r="F149" s="48">
        <v>0</v>
      </c>
      <c r="G149" s="48">
        <v>0</v>
      </c>
      <c r="H149" s="48">
        <v>0</v>
      </c>
      <c r="I149" s="48">
        <v>0</v>
      </c>
      <c r="J149" s="48">
        <v>5.0000000000000001E-3</v>
      </c>
      <c r="K149" s="36"/>
    </row>
    <row r="150" spans="1:11" x14ac:dyDescent="0.25">
      <c r="A150" s="427" t="s">
        <v>207</v>
      </c>
      <c r="B150" s="48">
        <v>0</v>
      </c>
      <c r="C150" s="48">
        <v>2.2699999999999999E-4</v>
      </c>
      <c r="D150" s="48">
        <v>0</v>
      </c>
      <c r="E150" s="48">
        <v>0.29957338999999999</v>
      </c>
      <c r="F150" s="48">
        <v>7.5000000000000002E-4</v>
      </c>
      <c r="G150" s="48">
        <v>2.0500000000000001E-2</v>
      </c>
      <c r="H150" s="48">
        <v>1.7660490000000001E-2</v>
      </c>
      <c r="I150" s="48">
        <v>1.8520490000000001E-2</v>
      </c>
      <c r="J150" s="48">
        <v>4.8989999999999997E-3</v>
      </c>
      <c r="K150" s="36"/>
    </row>
    <row r="151" spans="1:11" x14ac:dyDescent="0.25">
      <c r="A151" s="427" t="s">
        <v>19</v>
      </c>
      <c r="B151" s="48">
        <v>0</v>
      </c>
      <c r="C151" s="48">
        <v>4.7871800000000003E-3</v>
      </c>
      <c r="D151" s="48">
        <v>0</v>
      </c>
      <c r="E151" s="48">
        <v>7.4999999999999993E-5</v>
      </c>
      <c r="F151" s="48">
        <v>0</v>
      </c>
      <c r="G151" s="48">
        <v>0</v>
      </c>
      <c r="H151" s="48">
        <v>6.0000000000000002E-5</v>
      </c>
      <c r="I151" s="48">
        <v>6.0000000000000002E-5</v>
      </c>
      <c r="J151" s="48">
        <v>4.7871800000000003E-3</v>
      </c>
      <c r="K151" s="36"/>
    </row>
    <row r="152" spans="1:11" x14ac:dyDescent="0.25">
      <c r="A152" s="427" t="s">
        <v>20</v>
      </c>
      <c r="B152" s="48">
        <v>0</v>
      </c>
      <c r="C152" s="48">
        <v>4.6195200000000002E-3</v>
      </c>
      <c r="D152" s="48">
        <v>0</v>
      </c>
      <c r="E152" s="48">
        <v>1.5576624800000001</v>
      </c>
      <c r="F152" s="48">
        <v>0</v>
      </c>
      <c r="G152" s="48">
        <v>0</v>
      </c>
      <c r="H152" s="48">
        <v>0</v>
      </c>
      <c r="I152" s="48">
        <v>7.4999999999999993E-5</v>
      </c>
      <c r="J152" s="48">
        <v>4.6195200000000002E-3</v>
      </c>
      <c r="K152" s="36"/>
    </row>
    <row r="153" spans="1:11" x14ac:dyDescent="0.25">
      <c r="A153" s="427" t="s">
        <v>92</v>
      </c>
      <c r="B153" s="48">
        <v>0</v>
      </c>
      <c r="C153" s="48">
        <v>0</v>
      </c>
      <c r="D153" s="48">
        <v>0</v>
      </c>
      <c r="E153" s="48">
        <v>0</v>
      </c>
      <c r="F153" s="48">
        <v>0.10536366</v>
      </c>
      <c r="G153" s="48">
        <v>5.1424999999999995E-4</v>
      </c>
      <c r="H153" s="48">
        <v>0</v>
      </c>
      <c r="I153" s="48">
        <v>0.10536366</v>
      </c>
      <c r="J153" s="48">
        <v>4.4021800000000003E-3</v>
      </c>
      <c r="K153" s="36"/>
    </row>
    <row r="154" spans="1:11" x14ac:dyDescent="0.25">
      <c r="A154" s="427" t="s">
        <v>43</v>
      </c>
      <c r="B154" s="48">
        <v>0</v>
      </c>
      <c r="C154" s="48">
        <v>0</v>
      </c>
      <c r="D154" s="48">
        <v>0</v>
      </c>
      <c r="E154" s="48">
        <v>0</v>
      </c>
      <c r="F154" s="48">
        <v>1.425735E-2</v>
      </c>
      <c r="G154" s="48">
        <v>4.3489809999999997E-2</v>
      </c>
      <c r="H154" s="48">
        <v>7.6215399999999996E-3</v>
      </c>
      <c r="I154" s="48">
        <v>4.1534889999999998E-2</v>
      </c>
      <c r="J154" s="48">
        <v>3.4426399999999998E-3</v>
      </c>
      <c r="K154" s="36"/>
    </row>
    <row r="155" spans="1:11" x14ac:dyDescent="0.25">
      <c r="A155" s="427" t="s">
        <v>149</v>
      </c>
      <c r="B155" s="48">
        <v>0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8.1390000000000005E-5</v>
      </c>
      <c r="I155" s="48">
        <v>8.1390000000000005E-5</v>
      </c>
      <c r="J155" s="48">
        <v>3.24727E-3</v>
      </c>
      <c r="K155" s="36"/>
    </row>
    <row r="156" spans="1:11" x14ac:dyDescent="0.25">
      <c r="A156" s="427" t="s">
        <v>39</v>
      </c>
      <c r="B156" s="48">
        <v>0</v>
      </c>
      <c r="C156" s="48">
        <v>0</v>
      </c>
      <c r="D156" s="48">
        <v>0</v>
      </c>
      <c r="E156" s="48">
        <v>9.0799999999999995E-3</v>
      </c>
      <c r="F156" s="48">
        <v>0</v>
      </c>
      <c r="G156" s="48">
        <v>0</v>
      </c>
      <c r="H156" s="48">
        <v>0</v>
      </c>
      <c r="I156" s="48">
        <v>0</v>
      </c>
      <c r="J156" s="48">
        <v>2.4895E-3</v>
      </c>
      <c r="K156" s="36"/>
    </row>
    <row r="157" spans="1:11" x14ac:dyDescent="0.25">
      <c r="A157" s="427" t="s">
        <v>155</v>
      </c>
      <c r="B157" s="48">
        <v>0</v>
      </c>
      <c r="C157" s="48">
        <v>0</v>
      </c>
      <c r="D157" s="48">
        <v>0</v>
      </c>
      <c r="E157" s="48">
        <v>0.18239</v>
      </c>
      <c r="F157" s="48">
        <v>0</v>
      </c>
      <c r="G157" s="48">
        <v>0</v>
      </c>
      <c r="H157" s="48">
        <v>0</v>
      </c>
      <c r="I157" s="48">
        <v>0</v>
      </c>
      <c r="J157" s="48">
        <v>2.2937700000000001E-3</v>
      </c>
      <c r="K157" s="36"/>
    </row>
    <row r="158" spans="1:11" x14ac:dyDescent="0.25">
      <c r="A158" s="427" t="s">
        <v>212</v>
      </c>
      <c r="B158" s="48">
        <v>0</v>
      </c>
      <c r="C158" s="48">
        <v>2.2121999999999997E-3</v>
      </c>
      <c r="D158" s="48">
        <v>0</v>
      </c>
      <c r="E158" s="48">
        <v>4.1300000000000001E-4</v>
      </c>
      <c r="F158" s="48">
        <v>0</v>
      </c>
      <c r="G158" s="48">
        <v>1.0000000000000001E-5</v>
      </c>
      <c r="H158" s="48">
        <v>3.4643940000000005E-2</v>
      </c>
      <c r="I158" s="48">
        <v>7.1983179999999994E-2</v>
      </c>
      <c r="J158" s="48">
        <v>2.2121999999999997E-3</v>
      </c>
      <c r="K158" s="36"/>
    </row>
    <row r="159" spans="1:11" x14ac:dyDescent="0.25">
      <c r="A159" s="427" t="s">
        <v>35</v>
      </c>
      <c r="B159" s="48">
        <v>0</v>
      </c>
      <c r="C159" s="48">
        <v>0</v>
      </c>
      <c r="D159" s="48">
        <v>0</v>
      </c>
      <c r="E159" s="48">
        <v>2.0699999999999999E-4</v>
      </c>
      <c r="F159" s="48">
        <v>0</v>
      </c>
      <c r="G159" s="48">
        <v>0</v>
      </c>
      <c r="H159" s="48">
        <v>0</v>
      </c>
      <c r="I159" s="48">
        <v>0</v>
      </c>
      <c r="J159" s="48">
        <v>1.5635E-3</v>
      </c>
      <c r="K159" s="36"/>
    </row>
    <row r="160" spans="1:11" x14ac:dyDescent="0.25">
      <c r="A160" s="427" t="s">
        <v>56</v>
      </c>
      <c r="B160" s="48">
        <v>0</v>
      </c>
      <c r="C160" s="48">
        <v>1.5E-3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1.5E-3</v>
      </c>
      <c r="K160" s="36"/>
    </row>
    <row r="161" spans="1:11" x14ac:dyDescent="0.25">
      <c r="A161" s="427" t="s">
        <v>26</v>
      </c>
      <c r="B161" s="48">
        <v>0</v>
      </c>
      <c r="C161" s="48">
        <v>1.1680799999999999E-3</v>
      </c>
      <c r="D161" s="48">
        <v>0</v>
      </c>
      <c r="E161" s="48">
        <v>0.33636549999999998</v>
      </c>
      <c r="F161" s="48">
        <v>0</v>
      </c>
      <c r="G161" s="48">
        <v>0</v>
      </c>
      <c r="H161" s="48">
        <v>0</v>
      </c>
      <c r="I161" s="48">
        <v>0</v>
      </c>
      <c r="J161" s="48">
        <v>1.1680799999999999E-3</v>
      </c>
      <c r="K161" s="36"/>
    </row>
    <row r="162" spans="1:11" x14ac:dyDescent="0.25">
      <c r="A162" s="427" t="s">
        <v>194</v>
      </c>
      <c r="B162" s="48">
        <v>0</v>
      </c>
      <c r="C162" s="48">
        <v>0</v>
      </c>
      <c r="D162" s="48">
        <v>0</v>
      </c>
      <c r="E162" s="48">
        <v>7.5500000000000003E-4</v>
      </c>
      <c r="F162" s="48">
        <v>0</v>
      </c>
      <c r="G162" s="48">
        <v>0</v>
      </c>
      <c r="H162" s="48">
        <v>3.0231999999999998E-2</v>
      </c>
      <c r="I162" s="48">
        <v>3.0231999999999998E-2</v>
      </c>
      <c r="J162" s="48">
        <v>3.5E-4</v>
      </c>
      <c r="K162" s="36"/>
    </row>
    <row r="163" spans="1:11" x14ac:dyDescent="0.25">
      <c r="A163" s="427" t="s">
        <v>53</v>
      </c>
      <c r="B163" s="48">
        <v>0</v>
      </c>
      <c r="C163" s="48">
        <v>0</v>
      </c>
      <c r="D163" s="48">
        <v>0</v>
      </c>
      <c r="E163" s="48">
        <v>1.05E-4</v>
      </c>
      <c r="F163" s="48">
        <v>0</v>
      </c>
      <c r="G163" s="48">
        <v>770.40063658000008</v>
      </c>
      <c r="H163" s="48">
        <v>1209.77996244</v>
      </c>
      <c r="I163" s="48">
        <v>1209.77996244</v>
      </c>
      <c r="J163" s="48">
        <v>0</v>
      </c>
      <c r="K163" s="36"/>
    </row>
    <row r="164" spans="1:11" x14ac:dyDescent="0.25">
      <c r="A164" s="427" t="s">
        <v>121</v>
      </c>
      <c r="B164" s="48">
        <v>0</v>
      </c>
      <c r="C164" s="48">
        <v>0</v>
      </c>
      <c r="D164" s="48">
        <v>0</v>
      </c>
      <c r="E164" s="48">
        <v>727.99898244000008</v>
      </c>
      <c r="F164" s="48">
        <v>0</v>
      </c>
      <c r="G164" s="48">
        <v>298.38720043000001</v>
      </c>
      <c r="H164" s="48">
        <v>117.78557868</v>
      </c>
      <c r="I164" s="48">
        <v>124.83908664</v>
      </c>
      <c r="J164" s="48">
        <v>0</v>
      </c>
      <c r="K164" s="36"/>
    </row>
    <row r="165" spans="1:11" x14ac:dyDescent="0.25">
      <c r="A165" s="427" t="s">
        <v>54</v>
      </c>
      <c r="B165" s="48">
        <v>0</v>
      </c>
      <c r="C165" s="48">
        <v>0</v>
      </c>
      <c r="D165" s="48">
        <v>99.646071810000009</v>
      </c>
      <c r="E165" s="48">
        <v>118.39380568999999</v>
      </c>
      <c r="F165" s="48">
        <v>0</v>
      </c>
      <c r="G165" s="48">
        <v>274.69408772000003</v>
      </c>
      <c r="H165" s="48">
        <v>1.30102E-3</v>
      </c>
      <c r="I165" s="48">
        <v>1.314366E-2</v>
      </c>
      <c r="J165" s="48">
        <v>0</v>
      </c>
      <c r="K165" s="36"/>
    </row>
    <row r="166" spans="1:11" x14ac:dyDescent="0.25">
      <c r="A166" s="427" t="s">
        <v>52</v>
      </c>
      <c r="B166" s="48">
        <v>0</v>
      </c>
      <c r="C166" s="48">
        <v>0</v>
      </c>
      <c r="D166" s="48">
        <v>0</v>
      </c>
      <c r="E166" s="48">
        <v>0</v>
      </c>
      <c r="F166" s="48">
        <v>0</v>
      </c>
      <c r="G166" s="48">
        <v>100.69747771999999</v>
      </c>
      <c r="H166" s="48">
        <v>0</v>
      </c>
      <c r="I166" s="48">
        <v>267.44245239999998</v>
      </c>
      <c r="J166" s="48">
        <v>0</v>
      </c>
      <c r="K166" s="36"/>
    </row>
    <row r="167" spans="1:11" x14ac:dyDescent="0.25">
      <c r="A167" s="427" t="s">
        <v>10</v>
      </c>
      <c r="B167" s="48">
        <v>0</v>
      </c>
      <c r="C167" s="48">
        <v>0</v>
      </c>
      <c r="D167" s="48">
        <v>0</v>
      </c>
      <c r="E167" s="48">
        <v>3.63188143</v>
      </c>
      <c r="F167" s="48">
        <v>0</v>
      </c>
      <c r="G167" s="48">
        <v>15.442681929999999</v>
      </c>
      <c r="H167" s="48">
        <v>21.706198520000001</v>
      </c>
      <c r="I167" s="48">
        <v>23.22396947</v>
      </c>
      <c r="J167" s="48">
        <v>0</v>
      </c>
      <c r="K167" s="36"/>
    </row>
    <row r="168" spans="1:11" x14ac:dyDescent="0.25">
      <c r="A168" s="427" t="s">
        <v>55</v>
      </c>
      <c r="B168" s="48">
        <v>0</v>
      </c>
      <c r="C168" s="48">
        <v>0</v>
      </c>
      <c r="D168" s="48">
        <v>0</v>
      </c>
      <c r="E168" s="48">
        <v>30.11445762</v>
      </c>
      <c r="F168" s="48">
        <v>0</v>
      </c>
      <c r="G168" s="48">
        <v>0.76026095999999999</v>
      </c>
      <c r="H168" s="48">
        <v>0</v>
      </c>
      <c r="I168" s="48">
        <v>0</v>
      </c>
      <c r="J168" s="48">
        <v>0</v>
      </c>
      <c r="K168" s="36"/>
    </row>
    <row r="169" spans="1:11" x14ac:dyDescent="0.25">
      <c r="A169" s="427" t="s">
        <v>99</v>
      </c>
      <c r="B169" s="48">
        <v>0</v>
      </c>
      <c r="C169" s="48">
        <v>0</v>
      </c>
      <c r="D169" s="48">
        <v>0</v>
      </c>
      <c r="E169" s="48">
        <v>0</v>
      </c>
      <c r="F169" s="48">
        <v>9.4905289999999989E-2</v>
      </c>
      <c r="G169" s="48">
        <v>0.59521745999999998</v>
      </c>
      <c r="H169" s="48">
        <v>0.82124917000000008</v>
      </c>
      <c r="I169" s="48">
        <v>1.3144859799999999</v>
      </c>
      <c r="J169" s="48">
        <v>0</v>
      </c>
      <c r="K169" s="36"/>
    </row>
    <row r="170" spans="1:11" x14ac:dyDescent="0.25">
      <c r="A170" s="427" t="s">
        <v>51</v>
      </c>
      <c r="B170" s="48">
        <v>0</v>
      </c>
      <c r="C170" s="48">
        <v>0</v>
      </c>
      <c r="D170" s="48">
        <v>0</v>
      </c>
      <c r="E170" s="48">
        <v>1.3612000000000001E-2</v>
      </c>
      <c r="F170" s="48">
        <v>0</v>
      </c>
      <c r="G170" s="48">
        <v>0.54755414000000002</v>
      </c>
      <c r="H170" s="48">
        <v>4.5668200000000001E-3</v>
      </c>
      <c r="I170" s="48">
        <v>4.5668200000000001E-3</v>
      </c>
      <c r="J170" s="48">
        <v>0</v>
      </c>
      <c r="K170" s="36"/>
    </row>
    <row r="171" spans="1:11" x14ac:dyDescent="0.25">
      <c r="A171" s="427" t="s">
        <v>38</v>
      </c>
      <c r="B171" s="48">
        <v>0</v>
      </c>
      <c r="C171" s="48">
        <v>0</v>
      </c>
      <c r="D171" s="48">
        <v>0</v>
      </c>
      <c r="E171" s="48">
        <v>2.308989</v>
      </c>
      <c r="F171" s="48">
        <v>0</v>
      </c>
      <c r="G171" s="48">
        <v>0.30317917</v>
      </c>
      <c r="H171" s="48">
        <v>0</v>
      </c>
      <c r="I171" s="48">
        <v>6.1601000000000003E-2</v>
      </c>
      <c r="J171" s="48">
        <v>0</v>
      </c>
      <c r="K171" s="36"/>
    </row>
    <row r="172" spans="1:11" x14ac:dyDescent="0.25">
      <c r="A172" s="427" t="s">
        <v>211</v>
      </c>
      <c r="B172" s="48">
        <v>0</v>
      </c>
      <c r="C172" s="48">
        <v>0</v>
      </c>
      <c r="D172" s="48">
        <v>0</v>
      </c>
      <c r="E172" s="48">
        <v>3.9750000000000001E-2</v>
      </c>
      <c r="F172" s="48">
        <v>0.15175921000000001</v>
      </c>
      <c r="G172" s="48">
        <v>8.5612539999999987E-2</v>
      </c>
      <c r="H172" s="48">
        <v>4.7941317799999998</v>
      </c>
      <c r="I172" s="48">
        <v>8.6093297</v>
      </c>
      <c r="J172" s="48">
        <v>0</v>
      </c>
      <c r="K172" s="36"/>
    </row>
    <row r="173" spans="1:11" x14ac:dyDescent="0.25">
      <c r="A173" s="427" t="s">
        <v>57</v>
      </c>
      <c r="B173" s="48">
        <v>0</v>
      </c>
      <c r="C173" s="48">
        <v>0</v>
      </c>
      <c r="D173" s="48">
        <v>1.230436E-2</v>
      </c>
      <c r="E173" s="48">
        <v>1.562E-2</v>
      </c>
      <c r="F173" s="48">
        <v>2.6887500000000002E-2</v>
      </c>
      <c r="G173" s="48">
        <v>6.5829159999999998E-2</v>
      </c>
      <c r="H173" s="48">
        <v>1.3814603300000001</v>
      </c>
      <c r="I173" s="48">
        <v>1.84541431</v>
      </c>
      <c r="J173" s="48">
        <v>0</v>
      </c>
      <c r="K173" s="36"/>
    </row>
    <row r="174" spans="1:11" x14ac:dyDescent="0.25">
      <c r="A174" s="427" t="s">
        <v>36</v>
      </c>
      <c r="B174" s="48">
        <v>0</v>
      </c>
      <c r="C174" s="48">
        <v>0</v>
      </c>
      <c r="D174" s="48">
        <v>0</v>
      </c>
      <c r="E174" s="48">
        <v>31.682545960000002</v>
      </c>
      <c r="F174" s="48">
        <v>0</v>
      </c>
      <c r="G174" s="48">
        <v>2.8299999999999999E-2</v>
      </c>
      <c r="H174" s="48">
        <v>60.328865700000001</v>
      </c>
      <c r="I174" s="48">
        <v>83.138450910000003</v>
      </c>
      <c r="J174" s="48">
        <v>0</v>
      </c>
      <c r="K174" s="36"/>
    </row>
    <row r="175" spans="1:11" x14ac:dyDescent="0.25">
      <c r="A175" s="427" t="s">
        <v>32</v>
      </c>
      <c r="B175" s="48">
        <v>0</v>
      </c>
      <c r="C175" s="48">
        <v>0</v>
      </c>
      <c r="D175" s="48">
        <v>1.5077599999999999E-3</v>
      </c>
      <c r="E175" s="48">
        <v>2.3546999999999998E-2</v>
      </c>
      <c r="F175" s="48">
        <v>3.0000000000000001E-3</v>
      </c>
      <c r="G175" s="48">
        <v>1.53536E-2</v>
      </c>
      <c r="H175" s="48">
        <v>0.65162557999999993</v>
      </c>
      <c r="I175" s="48">
        <v>0.82832335999999995</v>
      </c>
      <c r="J175" s="48">
        <v>0</v>
      </c>
      <c r="K175" s="36"/>
    </row>
    <row r="176" spans="1:11" x14ac:dyDescent="0.25">
      <c r="A176" s="427" t="s">
        <v>111</v>
      </c>
      <c r="B176" s="48">
        <v>0</v>
      </c>
      <c r="C176" s="48">
        <v>0</v>
      </c>
      <c r="D176" s="48">
        <v>0</v>
      </c>
      <c r="E176" s="48">
        <v>6.3000000000000003E-4</v>
      </c>
      <c r="F176" s="48">
        <v>5.0000000000000002E-5</v>
      </c>
      <c r="G176" s="48">
        <v>9.3749999999999997E-3</v>
      </c>
      <c r="H176" s="48">
        <v>0</v>
      </c>
      <c r="I176" s="48">
        <v>5.0000000000000002E-5</v>
      </c>
      <c r="J176" s="48">
        <v>0</v>
      </c>
      <c r="K176" s="36"/>
    </row>
    <row r="177" spans="1:11" x14ac:dyDescent="0.25">
      <c r="A177" s="427" t="s">
        <v>1</v>
      </c>
      <c r="B177" s="48">
        <v>0</v>
      </c>
      <c r="C177" s="48">
        <v>0</v>
      </c>
      <c r="D177" s="48">
        <v>0</v>
      </c>
      <c r="E177" s="48">
        <v>7.7954869699999998</v>
      </c>
      <c r="F177" s="48">
        <v>5.0749714699999995</v>
      </c>
      <c r="G177" s="48">
        <v>0</v>
      </c>
      <c r="H177" s="48">
        <v>216.19546400999999</v>
      </c>
      <c r="I177" s="48">
        <v>214.85587235</v>
      </c>
      <c r="J177" s="48">
        <v>0</v>
      </c>
      <c r="K177" s="36"/>
    </row>
    <row r="178" spans="1:11" x14ac:dyDescent="0.25">
      <c r="A178" s="427" t="s">
        <v>359</v>
      </c>
      <c r="B178" s="48">
        <v>0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1.51096483</v>
      </c>
      <c r="J178" s="48">
        <v>0</v>
      </c>
      <c r="K178" s="36"/>
    </row>
    <row r="179" spans="1:11" x14ac:dyDescent="0.25">
      <c r="A179" s="427" t="s">
        <v>65</v>
      </c>
      <c r="B179" s="48">
        <v>0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  <c r="I179" s="48">
        <v>0.52413551999999997</v>
      </c>
      <c r="J179" s="48">
        <v>0</v>
      </c>
      <c r="K179" s="36"/>
    </row>
    <row r="180" spans="1:11" x14ac:dyDescent="0.25">
      <c r="A180" s="427" t="s">
        <v>11</v>
      </c>
      <c r="B180" s="48">
        <v>0</v>
      </c>
      <c r="C180" s="48">
        <v>0</v>
      </c>
      <c r="D180" s="48">
        <v>0</v>
      </c>
      <c r="E180" s="48">
        <v>49.07596032</v>
      </c>
      <c r="F180" s="48">
        <v>0</v>
      </c>
      <c r="G180" s="48">
        <v>0</v>
      </c>
      <c r="H180" s="48">
        <v>0.47059894000000002</v>
      </c>
      <c r="I180" s="48">
        <v>0.47059894000000002</v>
      </c>
      <c r="J180" s="48">
        <v>0</v>
      </c>
      <c r="K180" s="36"/>
    </row>
    <row r="181" spans="1:11" x14ac:dyDescent="0.25">
      <c r="A181" s="427" t="s">
        <v>67</v>
      </c>
      <c r="B181" s="48">
        <v>0</v>
      </c>
      <c r="C181" s="48">
        <v>0</v>
      </c>
      <c r="D181" s="48">
        <v>0</v>
      </c>
      <c r="E181" s="48">
        <v>1.0999999999999999E-2</v>
      </c>
      <c r="F181" s="48">
        <v>0</v>
      </c>
      <c r="G181" s="48">
        <v>0</v>
      </c>
      <c r="H181" s="48">
        <v>4.2347940000000001E-2</v>
      </c>
      <c r="I181" s="48">
        <v>0.23656825000000001</v>
      </c>
      <c r="J181" s="48">
        <v>0</v>
      </c>
      <c r="K181" s="36"/>
    </row>
    <row r="182" spans="1:11" x14ac:dyDescent="0.25">
      <c r="A182" s="427" t="s">
        <v>167</v>
      </c>
      <c r="B182" s="48">
        <v>0</v>
      </c>
      <c r="C182" s="48">
        <v>0</v>
      </c>
      <c r="D182" s="48">
        <v>0</v>
      </c>
      <c r="E182" s="48">
        <v>3.3097000000000001E-2</v>
      </c>
      <c r="F182" s="48">
        <v>0</v>
      </c>
      <c r="G182" s="48">
        <v>0</v>
      </c>
      <c r="H182" s="48">
        <v>7.0043100000000011E-2</v>
      </c>
      <c r="I182" s="48">
        <v>7.0043100000000011E-2</v>
      </c>
      <c r="J182" s="48">
        <v>0</v>
      </c>
      <c r="K182" s="36"/>
    </row>
    <row r="183" spans="1:11" x14ac:dyDescent="0.25">
      <c r="A183" s="427" t="s">
        <v>185</v>
      </c>
      <c r="B183" s="48">
        <v>0</v>
      </c>
      <c r="C183" s="48">
        <v>0</v>
      </c>
      <c r="D183" s="48">
        <v>0</v>
      </c>
      <c r="E183" s="48">
        <v>0.14875231999999999</v>
      </c>
      <c r="F183" s="48">
        <v>0</v>
      </c>
      <c r="G183" s="48">
        <v>0</v>
      </c>
      <c r="H183" s="48">
        <v>4.4006129999999997E-2</v>
      </c>
      <c r="I183" s="48">
        <v>4.4006129999999997E-2</v>
      </c>
      <c r="J183" s="48">
        <v>0</v>
      </c>
      <c r="K183" s="36"/>
    </row>
    <row r="184" spans="1:11" x14ac:dyDescent="0.25">
      <c r="A184" s="427" t="s">
        <v>192</v>
      </c>
      <c r="B184" s="48">
        <v>0</v>
      </c>
      <c r="C184" s="48">
        <v>0</v>
      </c>
      <c r="D184" s="48">
        <v>0</v>
      </c>
      <c r="E184" s="48">
        <v>8.8985000000000002E-3</v>
      </c>
      <c r="F184" s="48">
        <v>0</v>
      </c>
      <c r="G184" s="48">
        <v>0</v>
      </c>
      <c r="H184" s="48">
        <v>1.830874E-2</v>
      </c>
      <c r="I184" s="48">
        <v>1.8333740000000001E-2</v>
      </c>
      <c r="J184" s="48">
        <v>0</v>
      </c>
      <c r="K184" s="36"/>
    </row>
    <row r="185" spans="1:11" x14ac:dyDescent="0.25">
      <c r="A185" s="427" t="s">
        <v>367</v>
      </c>
      <c r="B185" s="48">
        <v>0</v>
      </c>
      <c r="C185" s="48">
        <v>0</v>
      </c>
      <c r="D185" s="48">
        <v>0</v>
      </c>
      <c r="E185" s="48">
        <v>4.2040000000000003E-3</v>
      </c>
      <c r="F185" s="48">
        <v>0</v>
      </c>
      <c r="G185" s="48">
        <v>0</v>
      </c>
      <c r="H185" s="48">
        <v>1.301983E-2</v>
      </c>
      <c r="I185" s="48">
        <v>1.301983E-2</v>
      </c>
      <c r="J185" s="48">
        <v>0</v>
      </c>
      <c r="K185" s="36"/>
    </row>
    <row r="186" spans="1:11" x14ac:dyDescent="0.25">
      <c r="A186" s="427" t="s">
        <v>175</v>
      </c>
      <c r="B186" s="48">
        <v>0</v>
      </c>
      <c r="C186" s="48">
        <v>0</v>
      </c>
      <c r="D186" s="48">
        <v>0</v>
      </c>
      <c r="E186" s="48">
        <v>5.5000000000000003E-4</v>
      </c>
      <c r="F186" s="48">
        <v>0</v>
      </c>
      <c r="G186" s="48">
        <v>0</v>
      </c>
      <c r="H186" s="48">
        <v>9.7929999999999996E-3</v>
      </c>
      <c r="I186" s="48">
        <v>9.7929999999999996E-3</v>
      </c>
      <c r="J186" s="48">
        <v>0</v>
      </c>
      <c r="K186" s="36"/>
    </row>
    <row r="187" spans="1:11" x14ac:dyDescent="0.25">
      <c r="A187" s="427" t="s">
        <v>154</v>
      </c>
      <c r="B187" s="48">
        <v>0</v>
      </c>
      <c r="C187" s="48">
        <v>0</v>
      </c>
      <c r="D187" s="48">
        <v>0</v>
      </c>
      <c r="E187" s="48">
        <v>3.8899999999999998E-3</v>
      </c>
      <c r="F187" s="48">
        <v>8.3006799999999995E-3</v>
      </c>
      <c r="G187" s="48">
        <v>0</v>
      </c>
      <c r="H187" s="48">
        <v>0</v>
      </c>
      <c r="I187" s="48">
        <v>8.3006799999999995E-3</v>
      </c>
      <c r="J187" s="48">
        <v>0</v>
      </c>
      <c r="K187" s="36"/>
    </row>
    <row r="188" spans="1:11" x14ac:dyDescent="0.25">
      <c r="A188" s="427" t="s">
        <v>98</v>
      </c>
      <c r="B188" s="48">
        <v>0</v>
      </c>
      <c r="C188" s="48">
        <v>0</v>
      </c>
      <c r="D188" s="48">
        <v>0</v>
      </c>
      <c r="E188" s="48">
        <v>2.0000000000000002E-5</v>
      </c>
      <c r="F188" s="48">
        <v>0</v>
      </c>
      <c r="G188" s="48">
        <v>0</v>
      </c>
      <c r="H188" s="48">
        <v>7.3258900000000007E-3</v>
      </c>
      <c r="I188" s="48">
        <v>7.3258900000000007E-3</v>
      </c>
      <c r="J188" s="48">
        <v>0</v>
      </c>
      <c r="K188" s="36"/>
    </row>
    <row r="189" spans="1:11" x14ac:dyDescent="0.25">
      <c r="A189" s="427" t="s">
        <v>372</v>
      </c>
      <c r="B189" s="48">
        <v>0</v>
      </c>
      <c r="C189" s="48">
        <v>0</v>
      </c>
      <c r="D189" s="48">
        <v>0</v>
      </c>
      <c r="E189" s="48">
        <v>0</v>
      </c>
      <c r="F189" s="48">
        <v>0</v>
      </c>
      <c r="G189" s="48">
        <v>0</v>
      </c>
      <c r="H189" s="48">
        <v>0</v>
      </c>
      <c r="I189" s="48">
        <v>2.5933699999999998E-3</v>
      </c>
      <c r="J189" s="48">
        <v>0</v>
      </c>
      <c r="K189" s="36"/>
    </row>
    <row r="190" spans="1:11" x14ac:dyDescent="0.25">
      <c r="A190" s="427" t="s">
        <v>47</v>
      </c>
      <c r="B190" s="48">
        <v>0</v>
      </c>
      <c r="C190" s="48">
        <v>0</v>
      </c>
      <c r="D190" s="48">
        <v>0</v>
      </c>
      <c r="E190" s="48">
        <v>8.2987000000000002E-4</v>
      </c>
      <c r="F190" s="48">
        <v>0</v>
      </c>
      <c r="G190" s="48">
        <v>0</v>
      </c>
      <c r="H190" s="48">
        <v>1.5399999999999999E-3</v>
      </c>
      <c r="I190" s="48">
        <v>1.5399999999999999E-3</v>
      </c>
      <c r="J190" s="48">
        <v>0</v>
      </c>
      <c r="K190" s="36"/>
    </row>
    <row r="191" spans="1:11" x14ac:dyDescent="0.25">
      <c r="A191" s="427" t="s">
        <v>82</v>
      </c>
      <c r="B191" s="48">
        <v>0</v>
      </c>
      <c r="C191" s="48">
        <v>0</v>
      </c>
      <c r="D191" s="48">
        <v>0</v>
      </c>
      <c r="E191" s="48">
        <v>0.111495</v>
      </c>
      <c r="F191" s="48">
        <v>0</v>
      </c>
      <c r="G191" s="48">
        <v>0</v>
      </c>
      <c r="H191" s="48">
        <v>2.0000000000000001E-4</v>
      </c>
      <c r="I191" s="48">
        <v>2.9500000000000001E-4</v>
      </c>
      <c r="J191" s="48">
        <v>0</v>
      </c>
      <c r="K191" s="36"/>
    </row>
    <row r="192" spans="1:11" x14ac:dyDescent="0.25">
      <c r="A192" s="427" t="s">
        <v>23</v>
      </c>
      <c r="B192" s="48">
        <v>0</v>
      </c>
      <c r="C192" s="48">
        <v>0</v>
      </c>
      <c r="D192" s="48">
        <v>0</v>
      </c>
      <c r="E192" s="48">
        <v>4.6896E-2</v>
      </c>
      <c r="F192" s="48">
        <v>0</v>
      </c>
      <c r="G192" s="48">
        <v>0</v>
      </c>
      <c r="H192" s="48">
        <v>0</v>
      </c>
      <c r="I192" s="48">
        <v>2.24E-4</v>
      </c>
      <c r="J192" s="48">
        <v>0</v>
      </c>
      <c r="K192" s="36"/>
    </row>
    <row r="193" spans="1:11" x14ac:dyDescent="0.25">
      <c r="A193" s="427" t="s">
        <v>354</v>
      </c>
      <c r="B193" s="48">
        <v>0</v>
      </c>
      <c r="C193" s="48">
        <v>0</v>
      </c>
      <c r="D193" s="48">
        <v>0</v>
      </c>
      <c r="E193" s="48">
        <v>0</v>
      </c>
      <c r="F193" s="48">
        <v>0</v>
      </c>
      <c r="G193" s="48">
        <v>0</v>
      </c>
      <c r="H193" s="48">
        <v>3.5460000000000003E-5</v>
      </c>
      <c r="I193" s="48">
        <v>3.5460000000000003E-5</v>
      </c>
      <c r="J193" s="48">
        <v>0</v>
      </c>
      <c r="K193" s="36"/>
    </row>
    <row r="194" spans="1:11" x14ac:dyDescent="0.25">
      <c r="A194" s="427" t="s">
        <v>216</v>
      </c>
      <c r="B194" s="48">
        <v>0</v>
      </c>
      <c r="C194" s="48">
        <v>0</v>
      </c>
      <c r="D194" s="48">
        <v>0</v>
      </c>
      <c r="E194" s="48">
        <v>2104.9002070000001</v>
      </c>
      <c r="F194" s="48">
        <v>0</v>
      </c>
      <c r="G194" s="48">
        <v>0</v>
      </c>
      <c r="H194" s="48">
        <v>0</v>
      </c>
      <c r="I194" s="48">
        <v>0</v>
      </c>
      <c r="J194" s="48">
        <v>0</v>
      </c>
      <c r="K194" s="36"/>
    </row>
    <row r="195" spans="1:11" x14ac:dyDescent="0.25">
      <c r="A195" s="427" t="s">
        <v>60</v>
      </c>
      <c r="B195" s="48">
        <v>0</v>
      </c>
      <c r="C195" s="48">
        <v>0</v>
      </c>
      <c r="D195" s="48">
        <v>0</v>
      </c>
      <c r="E195" s="48">
        <v>0.69590890000000005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36"/>
    </row>
    <row r="196" spans="1:11" x14ac:dyDescent="0.25">
      <c r="A196" s="427" t="s">
        <v>33</v>
      </c>
      <c r="B196" s="48">
        <v>0</v>
      </c>
      <c r="C196" s="48">
        <v>0</v>
      </c>
      <c r="D196" s="48">
        <v>0</v>
      </c>
      <c r="E196" s="48">
        <v>0.49875000000000003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36"/>
    </row>
    <row r="197" spans="1:11" x14ac:dyDescent="0.25">
      <c r="A197" s="427" t="s">
        <v>37</v>
      </c>
      <c r="B197" s="48">
        <v>0</v>
      </c>
      <c r="C197" s="48">
        <v>0</v>
      </c>
      <c r="D197" s="48">
        <v>0</v>
      </c>
      <c r="E197" s="48">
        <v>0.26379893999999998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36"/>
    </row>
    <row r="198" spans="1:11" x14ac:dyDescent="0.25">
      <c r="A198" s="427" t="s">
        <v>358</v>
      </c>
      <c r="B198" s="48">
        <v>0</v>
      </c>
      <c r="C198" s="48">
        <v>0</v>
      </c>
      <c r="D198" s="48">
        <v>0</v>
      </c>
      <c r="E198" s="48">
        <v>0.26021729999999998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36"/>
    </row>
    <row r="199" spans="1:11" x14ac:dyDescent="0.25">
      <c r="A199" s="427" t="s">
        <v>42</v>
      </c>
      <c r="B199" s="48">
        <v>0</v>
      </c>
      <c r="C199" s="48">
        <v>0</v>
      </c>
      <c r="D199" s="48">
        <v>0</v>
      </c>
      <c r="E199" s="48">
        <v>0.13899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36"/>
    </row>
    <row r="200" spans="1:11" x14ac:dyDescent="0.25">
      <c r="A200" s="427" t="s">
        <v>206</v>
      </c>
      <c r="B200" s="48">
        <v>0</v>
      </c>
      <c r="C200" s="48">
        <v>0</v>
      </c>
      <c r="D200" s="48">
        <v>0</v>
      </c>
      <c r="E200" s="48">
        <v>7.1923000000000001E-2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36"/>
    </row>
    <row r="201" spans="1:11" x14ac:dyDescent="0.25">
      <c r="A201" s="427" t="s">
        <v>141</v>
      </c>
      <c r="B201" s="48">
        <v>0</v>
      </c>
      <c r="C201" s="48">
        <v>0</v>
      </c>
      <c r="D201" s="48">
        <v>0</v>
      </c>
      <c r="E201" s="48">
        <v>1.488E-3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36"/>
    </row>
    <row r="202" spans="1:11" x14ac:dyDescent="0.25">
      <c r="A202" s="427" t="s">
        <v>201</v>
      </c>
      <c r="B202" s="48">
        <v>0</v>
      </c>
      <c r="C202" s="48">
        <v>0</v>
      </c>
      <c r="D202" s="48">
        <v>0</v>
      </c>
      <c r="E202" s="48">
        <v>9.6429999999999997E-4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36"/>
    </row>
    <row r="203" spans="1:11" x14ac:dyDescent="0.25">
      <c r="A203" s="427" t="s">
        <v>203</v>
      </c>
      <c r="B203" s="48">
        <v>0</v>
      </c>
      <c r="C203" s="48">
        <v>0</v>
      </c>
      <c r="D203" s="48">
        <v>0</v>
      </c>
      <c r="E203" s="48">
        <v>3.0200000000000002E-4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36"/>
    </row>
    <row r="204" spans="1:11" x14ac:dyDescent="0.25">
      <c r="A204" s="427" t="s">
        <v>77</v>
      </c>
      <c r="B204" s="48">
        <v>0</v>
      </c>
      <c r="C204" s="48">
        <v>0</v>
      </c>
      <c r="D204" s="48">
        <v>0</v>
      </c>
      <c r="E204" s="48">
        <v>1.1E-4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36"/>
    </row>
    <row r="205" spans="1:11" x14ac:dyDescent="0.25">
      <c r="A205" s="427" t="s">
        <v>13</v>
      </c>
      <c r="B205" s="48">
        <v>0</v>
      </c>
      <c r="C205" s="48">
        <v>0</v>
      </c>
      <c r="D205" s="48">
        <v>0</v>
      </c>
      <c r="E205" s="48">
        <v>1E-4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36"/>
    </row>
    <row r="206" spans="1:11" x14ac:dyDescent="0.25">
      <c r="A206" s="427" t="s">
        <v>386</v>
      </c>
      <c r="B206" s="48">
        <v>0</v>
      </c>
      <c r="C206" s="48">
        <v>0</v>
      </c>
      <c r="D206" s="48">
        <v>0</v>
      </c>
      <c r="E206" s="48">
        <v>1E-4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36"/>
    </row>
    <row r="207" spans="1:11" x14ac:dyDescent="0.25">
      <c r="A207" s="427" t="s">
        <v>61</v>
      </c>
      <c r="B207" s="48">
        <v>0</v>
      </c>
      <c r="C207" s="48">
        <v>0</v>
      </c>
      <c r="D207" s="48">
        <v>0</v>
      </c>
      <c r="E207" s="48">
        <v>5.0000000000000002E-5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36"/>
    </row>
    <row r="208" spans="1:11" x14ac:dyDescent="0.25">
      <c r="A208" s="427" t="s">
        <v>352</v>
      </c>
      <c r="B208" s="48">
        <v>0</v>
      </c>
      <c r="C208" s="48">
        <v>0</v>
      </c>
      <c r="D208" s="48">
        <v>0</v>
      </c>
      <c r="E208" s="48">
        <v>4.5000000000000003E-5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36"/>
    </row>
    <row r="209" spans="1:10" x14ac:dyDescent="0.25">
      <c r="A209" s="427" t="s">
        <v>373</v>
      </c>
      <c r="B209" s="48">
        <v>0</v>
      </c>
      <c r="C209" s="48">
        <v>0</v>
      </c>
      <c r="D209" s="48">
        <v>0</v>
      </c>
      <c r="E209" s="48">
        <v>1.0000000000000001E-5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</row>
    <row r="210" spans="1:10" x14ac:dyDescent="0.25">
      <c r="A210" s="427" t="s">
        <v>70</v>
      </c>
      <c r="B210" s="48">
        <v>0</v>
      </c>
      <c r="C210" s="48">
        <v>0</v>
      </c>
      <c r="D210" s="48">
        <v>0</v>
      </c>
      <c r="E210" s="48">
        <v>0</v>
      </c>
      <c r="F210" s="48">
        <v>0</v>
      </c>
      <c r="G210" s="48">
        <v>0</v>
      </c>
      <c r="H210" s="48">
        <v>0</v>
      </c>
      <c r="I210" s="48">
        <v>0</v>
      </c>
      <c r="J210" s="48">
        <v>0</v>
      </c>
    </row>
    <row r="211" spans="1:10" x14ac:dyDescent="0.25">
      <c r="A211" s="427" t="s">
        <v>72</v>
      </c>
      <c r="B211" s="48">
        <v>0</v>
      </c>
      <c r="C211" s="48">
        <v>0</v>
      </c>
      <c r="D211" s="48">
        <v>0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</row>
    <row r="212" spans="1:10" x14ac:dyDescent="0.25">
      <c r="A212" s="427" t="s">
        <v>122</v>
      </c>
      <c r="B212" s="48">
        <v>0</v>
      </c>
      <c r="C212" s="48">
        <v>0</v>
      </c>
      <c r="D212" s="48">
        <v>0</v>
      </c>
      <c r="E212" s="48">
        <v>0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</row>
    <row r="213" spans="1:10" x14ac:dyDescent="0.25">
      <c r="A213" s="427" t="s">
        <v>123</v>
      </c>
      <c r="B213" s="48">
        <v>0</v>
      </c>
      <c r="C213" s="48">
        <v>0</v>
      </c>
      <c r="D213" s="48">
        <v>0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</row>
    <row r="214" spans="1:10" x14ac:dyDescent="0.25">
      <c r="A214" s="427" t="s">
        <v>128</v>
      </c>
      <c r="B214" s="48">
        <v>0</v>
      </c>
      <c r="C214" s="48">
        <v>0</v>
      </c>
      <c r="D214" s="48">
        <v>0</v>
      </c>
      <c r="E214" s="48">
        <v>0</v>
      </c>
      <c r="F214" s="48">
        <v>0</v>
      </c>
      <c r="G214" s="48">
        <v>0</v>
      </c>
      <c r="H214" s="48">
        <v>0</v>
      </c>
      <c r="I214" s="48">
        <v>0</v>
      </c>
      <c r="J214" s="48">
        <v>0</v>
      </c>
    </row>
    <row r="215" spans="1:10" x14ac:dyDescent="0.25">
      <c r="A215" s="428" t="s">
        <v>374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</row>
    <row r="216" spans="1:10" x14ac:dyDescent="0.25">
      <c r="A216" s="427" t="s">
        <v>217</v>
      </c>
      <c r="B216" s="48">
        <f>SUBTOTAL(109,Table118[Column2])</f>
        <v>13.276821759999999</v>
      </c>
      <c r="C216" s="48">
        <f>SUBTOTAL(109,Table118[Column3])</f>
        <v>1282.3496768000002</v>
      </c>
      <c r="D216" s="48">
        <f>SUBTOTAL(109,Table118[Column4])</f>
        <v>99.675187680000008</v>
      </c>
      <c r="E216" s="48">
        <f>SUBTOTAL(109,Table118[Column5])</f>
        <v>3882.5556742700005</v>
      </c>
      <c r="F216" s="48">
        <f>SUBTOTAL(109,Table118[Column6])</f>
        <v>13.58136199</v>
      </c>
      <c r="G216" s="48">
        <f>SUBTOTAL(109,Table118[Column7])</f>
        <v>1545.2802444800004</v>
      </c>
      <c r="H216" s="48">
        <f>SUBTOTAL(109,Table118[Column8])</f>
        <v>2300.3378417100012</v>
      </c>
      <c r="I216" s="48">
        <f>SUBTOTAL(109,Table118[Column9])</f>
        <v>2772.6547188300001</v>
      </c>
      <c r="J216" s="48">
        <f>SUBTOTAL(109,Table118[Column10])</f>
        <v>1355.8248966700014</v>
      </c>
    </row>
    <row r="217" spans="1:10" x14ac:dyDescent="0.25">
      <c r="B217" s="36"/>
      <c r="C217" s="36"/>
      <c r="D217" s="36"/>
      <c r="E217" s="36"/>
      <c r="F217" s="36"/>
      <c r="G217" s="36"/>
      <c r="H217" s="36"/>
      <c r="I217" s="36"/>
      <c r="J217" s="36"/>
    </row>
    <row r="218" spans="1:10" x14ac:dyDescent="0.25">
      <c r="B218" s="36"/>
      <c r="C218" s="36"/>
      <c r="D218" s="36"/>
      <c r="E218" s="36"/>
      <c r="F218" s="36"/>
      <c r="G218" s="36"/>
      <c r="H218" s="36"/>
      <c r="I218" s="36"/>
      <c r="J218" s="36"/>
    </row>
    <row r="219" spans="1:10" x14ac:dyDescent="0.25">
      <c r="B219" s="36"/>
      <c r="C219" s="36"/>
      <c r="D219" s="36"/>
      <c r="E219" s="36"/>
      <c r="F219" s="36"/>
      <c r="G219" s="36"/>
      <c r="H219" s="36"/>
      <c r="I219" s="36"/>
      <c r="J219" s="36"/>
    </row>
    <row r="220" spans="1:10" x14ac:dyDescent="0.25">
      <c r="B220" s="36"/>
      <c r="C220" s="36"/>
      <c r="D220" s="36"/>
      <c r="E220" s="36"/>
      <c r="F220" s="36"/>
      <c r="G220" s="36"/>
      <c r="H220" s="36"/>
      <c r="I220" s="36"/>
      <c r="J220" s="36"/>
    </row>
    <row r="221" spans="1:10" x14ac:dyDescent="0.25">
      <c r="B221" s="36"/>
      <c r="C221" s="36"/>
      <c r="D221" s="36"/>
      <c r="E221" s="36"/>
      <c r="F221" s="36"/>
      <c r="G221" s="36"/>
      <c r="H221" s="36"/>
      <c r="I221" s="36"/>
      <c r="J221" s="36"/>
    </row>
    <row r="222" spans="1:10" x14ac:dyDescent="0.25">
      <c r="B222" s="36"/>
      <c r="C222" s="36"/>
      <c r="D222" s="36"/>
      <c r="E222" s="36"/>
      <c r="F222" s="36"/>
      <c r="G222" s="36"/>
      <c r="H222" s="36"/>
      <c r="I222" s="36"/>
      <c r="J222" s="36"/>
    </row>
    <row r="223" spans="1:10" x14ac:dyDescent="0.25">
      <c r="B223" s="36"/>
      <c r="C223" s="36"/>
      <c r="D223" s="36"/>
      <c r="E223" s="36"/>
      <c r="F223" s="36"/>
      <c r="G223" s="36"/>
      <c r="H223" s="36"/>
      <c r="I223" s="36"/>
      <c r="J223" s="36"/>
    </row>
    <row r="224" spans="1:10" x14ac:dyDescent="0.25">
      <c r="B224" s="36"/>
      <c r="C224" s="36"/>
      <c r="D224" s="36"/>
      <c r="E224" s="36"/>
      <c r="F224" s="36"/>
      <c r="G224" s="36"/>
      <c r="H224" s="36"/>
      <c r="I224" s="36"/>
      <c r="J224" s="36"/>
    </row>
    <row r="225" spans="2:10" x14ac:dyDescent="0.25">
      <c r="B225" s="36"/>
      <c r="C225" s="36"/>
      <c r="D225" s="36"/>
      <c r="E225" s="36"/>
      <c r="F225" s="36"/>
      <c r="G225" s="36"/>
      <c r="H225" s="36"/>
      <c r="I225" s="36"/>
      <c r="J225" s="36"/>
    </row>
    <row r="226" spans="2:10" x14ac:dyDescent="0.25">
      <c r="B226" s="36"/>
      <c r="C226" s="36"/>
      <c r="D226" s="36"/>
      <c r="E226" s="36"/>
      <c r="F226" s="36"/>
      <c r="G226" s="36"/>
      <c r="H226" s="36"/>
      <c r="I226" s="36"/>
      <c r="J226" s="36"/>
    </row>
    <row r="227" spans="2:10" x14ac:dyDescent="0.25">
      <c r="B227" s="36"/>
      <c r="C227" s="36"/>
      <c r="D227" s="36"/>
      <c r="E227" s="36"/>
      <c r="F227" s="36"/>
      <c r="G227" s="36"/>
      <c r="H227" s="36"/>
      <c r="I227" s="36"/>
      <c r="J227" s="36"/>
    </row>
    <row r="228" spans="2:10" x14ac:dyDescent="0.25">
      <c r="B228" s="36"/>
      <c r="C228" s="36"/>
      <c r="D228" s="36"/>
      <c r="E228" s="36"/>
      <c r="F228" s="36"/>
      <c r="G228" s="36"/>
      <c r="H228" s="36"/>
      <c r="I228" s="36"/>
      <c r="J228" s="36"/>
    </row>
    <row r="229" spans="2:10" x14ac:dyDescent="0.25">
      <c r="B229" s="36"/>
      <c r="C229" s="36"/>
      <c r="D229" s="36"/>
      <c r="E229" s="36"/>
      <c r="F229" s="36"/>
      <c r="G229" s="36"/>
      <c r="H229" s="36"/>
      <c r="I229" s="36"/>
      <c r="J229" s="36"/>
    </row>
    <row r="230" spans="2:10" x14ac:dyDescent="0.25">
      <c r="B230" s="36"/>
      <c r="C230" s="36"/>
      <c r="D230" s="36"/>
      <c r="E230" s="36"/>
      <c r="F230" s="36"/>
      <c r="G230" s="36"/>
      <c r="H230" s="36"/>
      <c r="I230" s="36"/>
      <c r="J230" s="36"/>
    </row>
    <row r="231" spans="2:10" x14ac:dyDescent="0.25">
      <c r="B231" s="36"/>
      <c r="C231" s="36"/>
      <c r="D231" s="36"/>
      <c r="E231" s="36"/>
      <c r="F231" s="36"/>
      <c r="G231" s="36"/>
      <c r="H231" s="36"/>
      <c r="I231" s="36"/>
      <c r="J231" s="36"/>
    </row>
    <row r="232" spans="2:10" x14ac:dyDescent="0.25">
      <c r="B232" s="36"/>
      <c r="C232" s="36"/>
      <c r="D232" s="36"/>
      <c r="E232" s="36"/>
      <c r="F232" s="36"/>
      <c r="G232" s="36"/>
      <c r="H232" s="36"/>
      <c r="I232" s="36"/>
      <c r="J232" s="36"/>
    </row>
    <row r="233" spans="2:10" x14ac:dyDescent="0.25">
      <c r="B233" s="36"/>
      <c r="C233" s="36"/>
      <c r="D233" s="36"/>
      <c r="E233" s="36"/>
      <c r="F233" s="36"/>
      <c r="G233" s="36"/>
      <c r="H233" s="36"/>
      <c r="I233" s="36"/>
      <c r="J233" s="36"/>
    </row>
    <row r="234" spans="2:10" x14ac:dyDescent="0.25">
      <c r="B234" s="36"/>
      <c r="C234" s="36"/>
      <c r="D234" s="36"/>
      <c r="E234" s="36"/>
      <c r="F234" s="36"/>
      <c r="G234" s="36"/>
      <c r="H234" s="36"/>
      <c r="I234" s="36"/>
      <c r="J234" s="36"/>
    </row>
    <row r="235" spans="2:10" x14ac:dyDescent="0.25">
      <c r="B235" s="36"/>
      <c r="C235" s="36"/>
      <c r="D235" s="36"/>
      <c r="E235" s="36"/>
      <c r="F235" s="36"/>
      <c r="G235" s="36"/>
      <c r="H235" s="36"/>
      <c r="I235" s="36"/>
      <c r="J235" s="36"/>
    </row>
    <row r="236" spans="2:10" x14ac:dyDescent="0.25">
      <c r="B236" s="36"/>
      <c r="C236" s="36"/>
      <c r="D236" s="36"/>
      <c r="E236" s="36"/>
      <c r="F236" s="36"/>
      <c r="G236" s="36"/>
      <c r="H236" s="36"/>
      <c r="I236" s="36"/>
      <c r="J236" s="36"/>
    </row>
    <row r="237" spans="2:10" x14ac:dyDescent="0.25">
      <c r="B237" s="36"/>
      <c r="C237" s="36"/>
      <c r="D237" s="36"/>
      <c r="E237" s="36"/>
      <c r="F237" s="36"/>
      <c r="G237" s="36"/>
      <c r="H237" s="36"/>
      <c r="I237" s="36"/>
      <c r="J237" s="36"/>
    </row>
    <row r="238" spans="2:10" x14ac:dyDescent="0.25">
      <c r="B238" s="36"/>
      <c r="C238" s="36"/>
      <c r="D238" s="36"/>
      <c r="E238" s="36"/>
      <c r="F238" s="36"/>
      <c r="G238" s="36"/>
      <c r="H238" s="36"/>
      <c r="I238" s="36"/>
      <c r="J238" s="36"/>
    </row>
    <row r="239" spans="2:10" x14ac:dyDescent="0.25">
      <c r="B239" s="36"/>
      <c r="C239" s="36"/>
      <c r="D239" s="36"/>
      <c r="E239" s="36"/>
      <c r="F239" s="36"/>
      <c r="G239" s="36"/>
      <c r="H239" s="36"/>
      <c r="I239" s="36"/>
      <c r="J239" s="36"/>
    </row>
    <row r="240" spans="2:10" x14ac:dyDescent="0.25">
      <c r="B240" s="36"/>
      <c r="C240" s="36"/>
      <c r="D240" s="36"/>
      <c r="E240" s="36"/>
      <c r="F240" s="36"/>
      <c r="G240" s="36"/>
      <c r="H240" s="36"/>
      <c r="I240" s="36"/>
      <c r="J240" s="36"/>
    </row>
    <row r="241" spans="2:10" x14ac:dyDescent="0.25">
      <c r="B241" s="36"/>
      <c r="C241" s="36"/>
      <c r="D241" s="36"/>
      <c r="E241" s="36"/>
      <c r="F241" s="36"/>
      <c r="G241" s="36"/>
      <c r="H241" s="36"/>
      <c r="I241" s="36"/>
      <c r="J241" s="36"/>
    </row>
  </sheetData>
  <mergeCells count="1">
    <mergeCell ref="L1:M1"/>
  </mergeCells>
  <hyperlinks>
    <hyperlink ref="L1" location="'Table of Content'!A1" display="Table of Content" xr:uid="{E3B564E8-4D93-4610-A536-88C4660F9073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71BA-8377-4EE0-9A45-88698A1E6A11}">
  <dimension ref="A1:O26"/>
  <sheetViews>
    <sheetView zoomScale="90" zoomScaleNormal="90" workbookViewId="0">
      <selection activeCell="A16" sqref="A16"/>
    </sheetView>
  </sheetViews>
  <sheetFormatPr defaultColWidth="9.1796875" defaultRowHeight="12.5" x14ac:dyDescent="0.25"/>
  <cols>
    <col min="1" max="1" width="23.816406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5" ht="13" x14ac:dyDescent="0.3">
      <c r="A1" s="432" t="s">
        <v>365</v>
      </c>
      <c r="K1" s="577" t="s">
        <v>239</v>
      </c>
      <c r="L1" s="577"/>
    </row>
    <row r="2" spans="1:15" ht="13" x14ac:dyDescent="0.3">
      <c r="A2" s="581" t="s">
        <v>348</v>
      </c>
      <c r="B2" s="560">
        <v>45597</v>
      </c>
      <c r="C2" s="560"/>
      <c r="D2" s="560">
        <v>45934</v>
      </c>
      <c r="E2" s="560"/>
      <c r="F2" s="560">
        <v>45962</v>
      </c>
      <c r="G2" s="560"/>
      <c r="H2" s="583" t="s">
        <v>233</v>
      </c>
      <c r="I2" s="583" t="s">
        <v>299</v>
      </c>
    </row>
    <row r="3" spans="1:15" ht="13" x14ac:dyDescent="0.3">
      <c r="A3" s="582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57"/>
      <c r="I3" s="557"/>
    </row>
    <row r="4" spans="1:15" x14ac:dyDescent="0.25">
      <c r="A4" s="5" t="s">
        <v>347</v>
      </c>
      <c r="B4" s="4">
        <v>6259.1035116359199</v>
      </c>
      <c r="C4" s="82">
        <f t="shared" ref="C4:C12" si="0">(B4/$B$13)*100</f>
        <v>36.162848221179161</v>
      </c>
      <c r="D4" s="4">
        <v>5998.7928216601204</v>
      </c>
      <c r="E4" s="82">
        <f t="shared" ref="E4:E12" si="1">(D4/$D$13)*100</f>
        <v>37.309440106469374</v>
      </c>
      <c r="F4" s="4">
        <v>5834.3729363100501</v>
      </c>
      <c r="G4" s="88">
        <f t="shared" ref="G4:G12" si="2">(F4/$F$13)*100</f>
        <v>40.482045943252523</v>
      </c>
      <c r="H4" s="87">
        <f t="shared" ref="H4:H12" si="3">((F4/D4)-1)*100</f>
        <v>-2.740882878241635</v>
      </c>
      <c r="I4" s="81">
        <f t="shared" ref="I4:I12" si="4">((F4/B4)-1)*100</f>
        <v>-6.7858052600708536</v>
      </c>
    </row>
    <row r="5" spans="1:15" x14ac:dyDescent="0.25">
      <c r="A5" s="5" t="s">
        <v>346</v>
      </c>
      <c r="B5" s="4">
        <v>2657.1074268000002</v>
      </c>
      <c r="C5" s="80">
        <f t="shared" si="0"/>
        <v>15.351810751188872</v>
      </c>
      <c r="D5" s="4">
        <v>2110.0151096</v>
      </c>
      <c r="E5" s="80">
        <f t="shared" si="1"/>
        <v>13.123220737198338</v>
      </c>
      <c r="F5" s="4">
        <v>2699.77250052001</v>
      </c>
      <c r="G5" s="85">
        <f t="shared" si="2"/>
        <v>18.732486866275426</v>
      </c>
      <c r="H5" s="86">
        <f t="shared" si="3"/>
        <v>27.950387096128981</v>
      </c>
      <c r="I5" s="85">
        <f t="shared" si="4"/>
        <v>1.6056962277732234</v>
      </c>
      <c r="L5" s="2"/>
    </row>
    <row r="6" spans="1:15" x14ac:dyDescent="0.25">
      <c r="A6" s="5" t="s">
        <v>342</v>
      </c>
      <c r="B6" s="4">
        <v>5395.62594765003</v>
      </c>
      <c r="C6" s="79">
        <f t="shared" si="0"/>
        <v>31.173985514121316</v>
      </c>
      <c r="D6" s="4">
        <v>3886.4573162900001</v>
      </c>
      <c r="E6" s="79">
        <f t="shared" si="1"/>
        <v>24.171787687834065</v>
      </c>
      <c r="F6" s="4">
        <v>2685.30641031</v>
      </c>
      <c r="G6" s="85">
        <f t="shared" si="2"/>
        <v>18.632113281162908</v>
      </c>
      <c r="H6" s="86">
        <f t="shared" si="3"/>
        <v>-30.90606195378507</v>
      </c>
      <c r="I6" s="85">
        <f t="shared" si="4"/>
        <v>-50.231790780835397</v>
      </c>
      <c r="L6" s="2"/>
    </row>
    <row r="7" spans="1:15" x14ac:dyDescent="0.25">
      <c r="A7" s="5" t="s">
        <v>345</v>
      </c>
      <c r="B7" s="4">
        <v>1595.98101081</v>
      </c>
      <c r="C7" s="77">
        <f t="shared" si="0"/>
        <v>9.22100408636976</v>
      </c>
      <c r="D7" s="4">
        <v>1336.0982681600001</v>
      </c>
      <c r="E7" s="77">
        <f t="shared" si="1"/>
        <v>8.3098516308615622</v>
      </c>
      <c r="F7" s="4">
        <v>1869.35962608</v>
      </c>
      <c r="G7" s="85">
        <f t="shared" si="2"/>
        <v>12.97063165031286</v>
      </c>
      <c r="H7" s="86">
        <f t="shared" si="3"/>
        <v>39.911836623692174</v>
      </c>
      <c r="I7" s="85">
        <f t="shared" si="4"/>
        <v>17.129189722079062</v>
      </c>
      <c r="L7" s="2"/>
    </row>
    <row r="8" spans="1:15" x14ac:dyDescent="0.25">
      <c r="A8" s="5" t="s">
        <v>343</v>
      </c>
      <c r="B8" s="4">
        <v>949.94793612999899</v>
      </c>
      <c r="C8" s="78">
        <f t="shared" si="0"/>
        <v>5.4884574074271653</v>
      </c>
      <c r="D8" s="4">
        <v>1054.11937418</v>
      </c>
      <c r="E8" s="78">
        <f t="shared" si="1"/>
        <v>6.5560863369096651</v>
      </c>
      <c r="F8" s="4">
        <v>939.26234103000002</v>
      </c>
      <c r="G8" s="85">
        <f t="shared" si="2"/>
        <v>6.5171118914436752</v>
      </c>
      <c r="H8" s="86">
        <f t="shared" si="3"/>
        <v>-10.896017658279678</v>
      </c>
      <c r="I8" s="85">
        <f t="shared" si="4"/>
        <v>-1.1248611311827417</v>
      </c>
      <c r="K8" s="2"/>
      <c r="L8" s="2"/>
    </row>
    <row r="9" spans="1:15" x14ac:dyDescent="0.25">
      <c r="A9" s="5" t="s">
        <v>344</v>
      </c>
      <c r="B9" s="4">
        <v>958.67869543999893</v>
      </c>
      <c r="C9" s="77">
        <f t="shared" si="0"/>
        <v>5.5389005936112925</v>
      </c>
      <c r="D9" s="4">
        <v>1008.21472379</v>
      </c>
      <c r="E9" s="77">
        <f t="shared" si="1"/>
        <v>6.270582760565091</v>
      </c>
      <c r="F9" s="4">
        <v>877.47744774</v>
      </c>
      <c r="G9" s="85">
        <f t="shared" si="2"/>
        <v>6.0884147690505008</v>
      </c>
      <c r="H9" s="86">
        <f t="shared" si="3"/>
        <v>-12.967205592727604</v>
      </c>
      <c r="I9" s="85">
        <f t="shared" si="4"/>
        <v>-8.4701212289619576</v>
      </c>
      <c r="K9" s="2"/>
      <c r="L9" s="2"/>
    </row>
    <row r="10" spans="1:15" ht="13" x14ac:dyDescent="0.3">
      <c r="A10" s="5" t="s">
        <v>340</v>
      </c>
      <c r="B10" s="4">
        <v>63.543903399999998</v>
      </c>
      <c r="C10" s="78">
        <f t="shared" si="0"/>
        <v>0.36713381233646808</v>
      </c>
      <c r="D10" s="4">
        <v>93.659200520000098</v>
      </c>
      <c r="E10" s="78">
        <f t="shared" si="1"/>
        <v>0.58251258813330853</v>
      </c>
      <c r="F10" s="4">
        <v>71.745181040000006</v>
      </c>
      <c r="G10" s="85">
        <f t="shared" si="2"/>
        <v>0.49780700458704874</v>
      </c>
      <c r="H10" s="86">
        <f t="shared" si="3"/>
        <v>-23.397615352610813</v>
      </c>
      <c r="I10" s="85">
        <f t="shared" si="4"/>
        <v>12.906474423477121</v>
      </c>
      <c r="K10" s="3"/>
      <c r="L10" s="2"/>
    </row>
    <row r="11" spans="1:15" x14ac:dyDescent="0.25">
      <c r="A11" s="5" t="s">
        <v>341</v>
      </c>
      <c r="B11" s="4">
        <v>175.48826305</v>
      </c>
      <c r="C11" s="77">
        <f t="shared" si="0"/>
        <v>1.0139080476106139</v>
      </c>
      <c r="D11" s="4">
        <v>49.272790729999997</v>
      </c>
      <c r="E11" s="77">
        <f t="shared" si="1"/>
        <v>0.30645169607820988</v>
      </c>
      <c r="F11" s="4">
        <v>52.032011240000003</v>
      </c>
      <c r="G11" s="85">
        <f t="shared" si="2"/>
        <v>0.36102633351197477</v>
      </c>
      <c r="H11" s="86">
        <f t="shared" si="3"/>
        <v>5.599886812012933</v>
      </c>
      <c r="I11" s="85">
        <f t="shared" si="4"/>
        <v>-70.350147448222742</v>
      </c>
      <c r="J11" s="2"/>
      <c r="L11" s="2"/>
      <c r="M11" s="2"/>
      <c r="N11" s="2"/>
      <c r="O11" s="2"/>
    </row>
    <row r="12" spans="1:15" x14ac:dyDescent="0.25">
      <c r="A12" s="141" t="s">
        <v>339</v>
      </c>
      <c r="B12" s="4">
        <v>8.6702463999999999</v>
      </c>
      <c r="C12" s="75">
        <f t="shared" si="0"/>
        <v>5.009356436118053E-2</v>
      </c>
      <c r="D12" s="4">
        <v>4.7869098799999996</v>
      </c>
      <c r="E12" s="75">
        <f t="shared" si="1"/>
        <v>2.9772144625174961E-2</v>
      </c>
      <c r="F12" s="4">
        <v>23.702676230000002</v>
      </c>
      <c r="G12" s="85">
        <f t="shared" si="2"/>
        <v>0.16446203192622039</v>
      </c>
      <c r="H12" s="86">
        <f t="shared" si="3"/>
        <v>395.15609911586643</v>
      </c>
      <c r="I12" s="85">
        <f t="shared" si="4"/>
        <v>173.37949968757522</v>
      </c>
      <c r="J12" s="2"/>
      <c r="L12" s="2"/>
      <c r="M12" s="2"/>
      <c r="N12" s="2"/>
      <c r="O12" s="2"/>
    </row>
    <row r="13" spans="1:15" s="3" customFormat="1" ht="13" x14ac:dyDescent="0.3">
      <c r="A13" s="150" t="s">
        <v>364</v>
      </c>
      <c r="B13" s="149">
        <v>17308.10436543604</v>
      </c>
      <c r="C13" s="73">
        <v>100</v>
      </c>
      <c r="D13" s="149">
        <v>16078.485242719958</v>
      </c>
      <c r="E13" s="73">
        <v>100</v>
      </c>
      <c r="F13" s="149">
        <v>14412.24819636991</v>
      </c>
      <c r="G13" s="149">
        <v>100</v>
      </c>
      <c r="H13" s="147">
        <v>-16.382376798229625</v>
      </c>
      <c r="I13" s="147">
        <v>-25.364884419456214</v>
      </c>
    </row>
    <row r="14" spans="1:15" x14ac:dyDescent="0.25">
      <c r="J14" s="12"/>
    </row>
    <row r="15" spans="1:15" x14ac:dyDescent="0.25">
      <c r="A15" s="431"/>
      <c r="E15" s="431"/>
      <c r="F15" s="431"/>
      <c r="G15" s="8"/>
      <c r="H15" s="8"/>
      <c r="I15" s="8"/>
    </row>
    <row r="16" spans="1:15" x14ac:dyDescent="0.25">
      <c r="A16" s="431"/>
      <c r="B16" s="431"/>
      <c r="C16" s="431"/>
      <c r="D16" s="431"/>
      <c r="E16" s="431"/>
      <c r="F16" s="431"/>
      <c r="G16" s="431"/>
      <c r="H16" s="431"/>
      <c r="I16" s="431"/>
    </row>
    <row r="18" spans="2:6" x14ac:dyDescent="0.25">
      <c r="B18" s="4"/>
      <c r="D18" s="4"/>
      <c r="F18" s="4"/>
    </row>
    <row r="19" spans="2:6" x14ac:dyDescent="0.25">
      <c r="B19" s="4"/>
      <c r="D19" s="4"/>
      <c r="F19" s="4"/>
    </row>
    <row r="20" spans="2:6" x14ac:dyDescent="0.25">
      <c r="B20" s="4"/>
      <c r="D20" s="4"/>
      <c r="F20" s="4"/>
    </row>
    <row r="21" spans="2:6" x14ac:dyDescent="0.25">
      <c r="B21" s="4"/>
      <c r="D21" s="4"/>
      <c r="F21" s="4"/>
    </row>
    <row r="22" spans="2:6" x14ac:dyDescent="0.25">
      <c r="B22" s="4"/>
      <c r="D22" s="4"/>
      <c r="F22" s="4"/>
    </row>
    <row r="23" spans="2:6" x14ac:dyDescent="0.25">
      <c r="B23" s="4"/>
      <c r="D23" s="4"/>
      <c r="F23" s="4"/>
    </row>
    <row r="24" spans="2:6" x14ac:dyDescent="0.25">
      <c r="B24" s="4"/>
      <c r="D24" s="4"/>
      <c r="F24" s="4"/>
    </row>
    <row r="25" spans="2:6" x14ac:dyDescent="0.25">
      <c r="B25" s="4"/>
      <c r="D25" s="4"/>
      <c r="F25" s="4"/>
    </row>
    <row r="26" spans="2:6" x14ac:dyDescent="0.25">
      <c r="B26" s="4"/>
      <c r="D26" s="4"/>
      <c r="F26" s="4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7D2EC3D1-AD27-4137-9E4D-C17182F954FE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2D4-D262-4F4D-8762-69C078A9BCDA}">
  <dimension ref="A1:P256"/>
  <sheetViews>
    <sheetView zoomScaleNormal="100" workbookViewId="0">
      <selection activeCell="L1" sqref="L1:M1"/>
    </sheetView>
  </sheetViews>
  <sheetFormatPr defaultColWidth="6.54296875" defaultRowHeight="12.5" x14ac:dyDescent="0.25"/>
  <cols>
    <col min="1" max="1" width="50.1796875" style="20" customWidth="1"/>
    <col min="2" max="2" width="18.7265625" style="32" bestFit="1" customWidth="1"/>
    <col min="3" max="3" width="11.6328125" style="32" customWidth="1"/>
    <col min="4" max="4" width="15.1796875" style="32" bestFit="1" customWidth="1"/>
    <col min="5" max="5" width="11.6328125" style="32" customWidth="1"/>
    <col min="6" max="6" width="15.81640625" style="32" bestFit="1" customWidth="1"/>
    <col min="7" max="9" width="11.6328125" style="32" customWidth="1"/>
    <col min="10" max="10" width="16.1796875" style="20" bestFit="1" customWidth="1"/>
    <col min="11" max="11" width="7.81640625" style="20" customWidth="1"/>
    <col min="12" max="15" width="6.54296875" style="20"/>
    <col min="16" max="16" width="6.54296875" style="426"/>
    <col min="17" max="17" width="6.6328125" style="20" bestFit="1" customWidth="1"/>
    <col min="18" max="18" width="7.6328125" style="20" bestFit="1" customWidth="1"/>
    <col min="19" max="19" width="6.6328125" style="20" bestFit="1" customWidth="1"/>
    <col min="20" max="20" width="7.6328125" style="20" bestFit="1" customWidth="1"/>
    <col min="21" max="21" width="6.6328125" style="20" bestFit="1" customWidth="1"/>
    <col min="22" max="25" width="7.6328125" style="20" bestFit="1" customWidth="1"/>
    <col min="26" max="16384" width="6.54296875" style="20"/>
  </cols>
  <sheetData>
    <row r="1" spans="1:13" ht="13" x14ac:dyDescent="0.3">
      <c r="A1" s="430" t="s">
        <v>388</v>
      </c>
      <c r="B1" s="436"/>
      <c r="C1" s="436"/>
      <c r="D1" s="436"/>
      <c r="E1" s="436"/>
      <c r="F1" s="436"/>
      <c r="G1" s="436"/>
      <c r="H1" s="436"/>
      <c r="I1" s="436"/>
      <c r="L1" s="567" t="s">
        <v>239</v>
      </c>
      <c r="M1" s="567"/>
    </row>
    <row r="2" spans="1:13" s="11" customFormat="1" ht="13" x14ac:dyDescent="0.3">
      <c r="A2" s="342" t="s">
        <v>362</v>
      </c>
      <c r="B2" s="342" t="s">
        <v>339</v>
      </c>
      <c r="C2" s="342" t="s">
        <v>343</v>
      </c>
      <c r="D2" s="342" t="s">
        <v>340</v>
      </c>
      <c r="E2" s="342" t="s">
        <v>347</v>
      </c>
      <c r="F2" s="342" t="s">
        <v>341</v>
      </c>
      <c r="G2" s="342" t="s">
        <v>361</v>
      </c>
      <c r="H2" s="342" t="s">
        <v>345</v>
      </c>
      <c r="I2" s="342" t="s">
        <v>346</v>
      </c>
      <c r="J2" s="342" t="s">
        <v>344</v>
      </c>
    </row>
    <row r="3" spans="1:13" x14ac:dyDescent="0.25">
      <c r="A3" s="435" t="s">
        <v>52</v>
      </c>
      <c r="B3" s="47">
        <v>0</v>
      </c>
      <c r="C3" s="47">
        <v>406.79369464000001</v>
      </c>
      <c r="D3" s="47">
        <v>0</v>
      </c>
      <c r="E3" s="47">
        <v>0</v>
      </c>
      <c r="F3" s="47">
        <v>0</v>
      </c>
      <c r="G3" s="47">
        <v>0</v>
      </c>
      <c r="H3" s="47">
        <v>0</v>
      </c>
      <c r="I3" s="47">
        <v>0</v>
      </c>
      <c r="J3" s="47">
        <v>406.79369464000001</v>
      </c>
    </row>
    <row r="4" spans="1:13" x14ac:dyDescent="0.25">
      <c r="A4" s="434" t="s">
        <v>54</v>
      </c>
      <c r="B4" s="48">
        <v>0</v>
      </c>
      <c r="C4" s="48">
        <v>358.16625364999999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1.82917106</v>
      </c>
      <c r="J4" s="48">
        <v>358.16625364999999</v>
      </c>
    </row>
    <row r="5" spans="1:13" x14ac:dyDescent="0.25">
      <c r="A5" s="434" t="s">
        <v>174</v>
      </c>
      <c r="B5" s="48">
        <v>3.7173739999999997E-2</v>
      </c>
      <c r="C5" s="48">
        <v>31.345781219999999</v>
      </c>
      <c r="D5" s="48">
        <v>1.1154530000000001E-2</v>
      </c>
      <c r="E5" s="48">
        <v>47.906746679999998</v>
      </c>
      <c r="F5" s="48">
        <v>3.2283390000000002E-2</v>
      </c>
      <c r="G5" s="48">
        <v>20.399388859999998</v>
      </c>
      <c r="H5" s="48">
        <v>2.00226726</v>
      </c>
      <c r="I5" s="48">
        <v>3.56854169</v>
      </c>
      <c r="J5" s="48">
        <v>31.308607479999999</v>
      </c>
    </row>
    <row r="6" spans="1:13" x14ac:dyDescent="0.25">
      <c r="A6" s="434" t="s">
        <v>82</v>
      </c>
      <c r="B6" s="48">
        <v>0</v>
      </c>
      <c r="C6" s="48">
        <v>27.28254317</v>
      </c>
      <c r="D6" s="48">
        <v>0</v>
      </c>
      <c r="E6" s="48">
        <v>34.152551869999996</v>
      </c>
      <c r="F6" s="48">
        <v>0</v>
      </c>
      <c r="G6" s="48">
        <v>8.3936429999999992E-2</v>
      </c>
      <c r="H6" s="48">
        <v>0.40562248000000001</v>
      </c>
      <c r="I6" s="48">
        <v>0.43095246000000004</v>
      </c>
      <c r="J6" s="48">
        <v>0</v>
      </c>
    </row>
    <row r="7" spans="1:13" x14ac:dyDescent="0.25">
      <c r="A7" s="434" t="s">
        <v>85</v>
      </c>
      <c r="B7" s="48">
        <v>20.432709600000003</v>
      </c>
      <c r="C7" s="48">
        <v>20.432709600000003</v>
      </c>
      <c r="D7" s="48">
        <v>0</v>
      </c>
      <c r="E7" s="48">
        <v>86.2109831100001</v>
      </c>
      <c r="F7" s="48">
        <v>0.14333159000000001</v>
      </c>
      <c r="G7" s="48">
        <v>248.48030663999998</v>
      </c>
      <c r="H7" s="48">
        <v>0.45244539</v>
      </c>
      <c r="I7" s="48">
        <v>0.59577698000000001</v>
      </c>
      <c r="J7" s="48">
        <v>0</v>
      </c>
    </row>
    <row r="8" spans="1:13" x14ac:dyDescent="0.25">
      <c r="A8" s="434" t="s">
        <v>96</v>
      </c>
      <c r="B8" s="48">
        <v>0</v>
      </c>
      <c r="C8" s="48">
        <v>13.67152168</v>
      </c>
      <c r="D8" s="48">
        <v>0</v>
      </c>
      <c r="E8" s="48">
        <v>65.120968479999902</v>
      </c>
      <c r="F8" s="48">
        <v>9.1453700000000016E-3</v>
      </c>
      <c r="G8" s="48">
        <v>7.9791274699999999</v>
      </c>
      <c r="H8" s="48">
        <v>64.093936929999998</v>
      </c>
      <c r="I8" s="48">
        <v>61.512761310000002</v>
      </c>
      <c r="J8" s="48">
        <v>0</v>
      </c>
    </row>
    <row r="9" spans="1:13" x14ac:dyDescent="0.25">
      <c r="A9" s="434" t="s">
        <v>191</v>
      </c>
      <c r="B9" s="48">
        <v>3.7691040000000002E-2</v>
      </c>
      <c r="C9" s="48">
        <v>10.232150089999999</v>
      </c>
      <c r="D9" s="48">
        <v>0</v>
      </c>
      <c r="E9" s="48">
        <v>47.139686220000101</v>
      </c>
      <c r="F9" s="48">
        <v>4.0547000000000001E-4</v>
      </c>
      <c r="G9" s="48">
        <v>16.534518240000001</v>
      </c>
      <c r="H9" s="48">
        <v>7.5121729999999998E-2</v>
      </c>
      <c r="I9" s="48">
        <v>0.34221052000000002</v>
      </c>
      <c r="J9" s="48">
        <v>10.0748707</v>
      </c>
    </row>
    <row r="10" spans="1:13" x14ac:dyDescent="0.25">
      <c r="A10" s="434" t="s">
        <v>27</v>
      </c>
      <c r="B10" s="48">
        <v>0</v>
      </c>
      <c r="C10" s="48">
        <v>9.61216121</v>
      </c>
      <c r="D10" s="48">
        <v>0</v>
      </c>
      <c r="E10" s="48">
        <v>88.617959920000004</v>
      </c>
      <c r="F10" s="48">
        <v>0</v>
      </c>
      <c r="G10" s="48">
        <v>3.7970000000000001E-4</v>
      </c>
      <c r="H10" s="48">
        <v>3.6504381400000003</v>
      </c>
      <c r="I10" s="48">
        <v>6.7019908399999997</v>
      </c>
      <c r="J10" s="48">
        <v>13.96154256</v>
      </c>
    </row>
    <row r="11" spans="1:13" x14ac:dyDescent="0.25">
      <c r="A11" s="434" t="s">
        <v>21</v>
      </c>
      <c r="B11" s="48">
        <v>0</v>
      </c>
      <c r="C11" s="48">
        <v>7.3689787899999999</v>
      </c>
      <c r="D11" s="48">
        <v>0</v>
      </c>
      <c r="E11" s="48">
        <v>148.31073577000001</v>
      </c>
      <c r="F11" s="48">
        <v>0</v>
      </c>
      <c r="G11" s="48">
        <v>6.0725999999999998E-4</v>
      </c>
      <c r="H11" s="48">
        <v>7.3002230000000001E-2</v>
      </c>
      <c r="I11" s="48">
        <v>0.17968110000000001</v>
      </c>
      <c r="J11" s="48">
        <v>0.33434650999999999</v>
      </c>
    </row>
    <row r="12" spans="1:13" x14ac:dyDescent="0.25">
      <c r="A12" s="434" t="s">
        <v>39</v>
      </c>
      <c r="B12" s="48">
        <v>0</v>
      </c>
      <c r="C12" s="48">
        <v>5.9360359999999996</v>
      </c>
      <c r="D12" s="48">
        <v>0</v>
      </c>
      <c r="E12" s="48">
        <v>29.586412030000002</v>
      </c>
      <c r="F12" s="48">
        <v>0</v>
      </c>
      <c r="G12" s="48">
        <v>1.2957636100000001</v>
      </c>
      <c r="H12" s="48">
        <v>0.15306991</v>
      </c>
      <c r="I12" s="48">
        <v>0.28833359999999997</v>
      </c>
      <c r="J12" s="48">
        <v>7.1344899999999989E-2</v>
      </c>
    </row>
    <row r="13" spans="1:13" x14ac:dyDescent="0.25">
      <c r="A13" s="434" t="s">
        <v>116</v>
      </c>
      <c r="B13" s="48">
        <v>1.8008499999999999E-3</v>
      </c>
      <c r="C13" s="48">
        <v>4.6285726299999999</v>
      </c>
      <c r="D13" s="48">
        <v>3.5319620000000003E-2</v>
      </c>
      <c r="E13" s="48">
        <v>21.764420659999999</v>
      </c>
      <c r="F13" s="48">
        <v>0</v>
      </c>
      <c r="G13" s="48">
        <v>2.2511158399999998</v>
      </c>
      <c r="H13" s="48">
        <v>0.70735980000000009</v>
      </c>
      <c r="I13" s="48">
        <v>0.74024505000000007</v>
      </c>
      <c r="J13" s="48">
        <v>4.8161359800000003</v>
      </c>
    </row>
    <row r="14" spans="1:13" x14ac:dyDescent="0.25">
      <c r="A14" s="434" t="s">
        <v>195</v>
      </c>
      <c r="B14" s="48">
        <v>0.12491463999999999</v>
      </c>
      <c r="C14" s="48">
        <v>3.9885486499999998</v>
      </c>
      <c r="D14" s="48">
        <v>0.36997620000000003</v>
      </c>
      <c r="E14" s="48">
        <v>69.032076409999803</v>
      </c>
      <c r="F14" s="48">
        <v>0</v>
      </c>
      <c r="G14" s="48">
        <v>48.903970319999999</v>
      </c>
      <c r="H14" s="48">
        <v>3.3923285999999999</v>
      </c>
      <c r="I14" s="48">
        <v>0.87647843000000003</v>
      </c>
      <c r="J14" s="48">
        <v>3.9786058900000003</v>
      </c>
    </row>
    <row r="15" spans="1:13" x14ac:dyDescent="0.25">
      <c r="A15" s="434" t="s">
        <v>48</v>
      </c>
      <c r="B15" s="48">
        <v>0</v>
      </c>
      <c r="C15" s="48">
        <v>3.9508294799999999</v>
      </c>
      <c r="D15" s="48">
        <v>0</v>
      </c>
      <c r="E15" s="48">
        <v>8.915823500000009</v>
      </c>
      <c r="F15" s="48">
        <v>0</v>
      </c>
      <c r="G15" s="48">
        <v>6.9855460000000008E-2</v>
      </c>
      <c r="H15" s="48">
        <v>7.6141360000000005E-2</v>
      </c>
      <c r="I15" s="48">
        <v>0.21507332999999998</v>
      </c>
      <c r="J15" s="48">
        <v>3.9508294799999999</v>
      </c>
    </row>
    <row r="16" spans="1:13" x14ac:dyDescent="0.25">
      <c r="A16" s="434" t="s">
        <v>29</v>
      </c>
      <c r="B16" s="48">
        <v>0</v>
      </c>
      <c r="C16" s="48">
        <v>3.7709459900000004</v>
      </c>
      <c r="D16" s="48">
        <v>0</v>
      </c>
      <c r="E16" s="48">
        <v>83.316173759999714</v>
      </c>
      <c r="F16" s="48">
        <v>0.96055897000000001</v>
      </c>
      <c r="G16" s="48">
        <v>2.9602419999999997E-2</v>
      </c>
      <c r="H16" s="48">
        <v>4.6993750499999996</v>
      </c>
      <c r="I16" s="48">
        <v>5.6948219400000006</v>
      </c>
      <c r="J16" s="48">
        <v>5.5768399500000001</v>
      </c>
    </row>
    <row r="17" spans="1:10" x14ac:dyDescent="0.25">
      <c r="A17" s="434" t="s">
        <v>0</v>
      </c>
      <c r="B17" s="48">
        <v>0</v>
      </c>
      <c r="C17" s="48">
        <v>3.6324856299999997</v>
      </c>
      <c r="D17" s="48">
        <v>0</v>
      </c>
      <c r="E17" s="48">
        <v>1.33215964</v>
      </c>
      <c r="F17" s="48">
        <v>0</v>
      </c>
      <c r="G17" s="48">
        <v>0</v>
      </c>
      <c r="H17" s="48">
        <v>1.276419E-2</v>
      </c>
      <c r="I17" s="48">
        <v>1.276419E-2</v>
      </c>
      <c r="J17" s="48">
        <v>3.6324856299999997</v>
      </c>
    </row>
    <row r="18" spans="1:10" x14ac:dyDescent="0.25">
      <c r="A18" s="434" t="s">
        <v>2</v>
      </c>
      <c r="B18" s="48">
        <v>0</v>
      </c>
      <c r="C18" s="48">
        <v>2.4805808900000001</v>
      </c>
      <c r="D18" s="48">
        <v>63.389581380000003</v>
      </c>
      <c r="E18" s="48">
        <v>6.2497326799999993</v>
      </c>
      <c r="F18" s="48">
        <v>0</v>
      </c>
      <c r="G18" s="48">
        <v>61.123406509999995</v>
      </c>
      <c r="H18" s="48">
        <v>24.89909986</v>
      </c>
      <c r="I18" s="48">
        <v>26.456210559999999</v>
      </c>
      <c r="J18" s="48">
        <v>0</v>
      </c>
    </row>
    <row r="19" spans="1:10" x14ac:dyDescent="0.25">
      <c r="A19" s="434" t="s">
        <v>193</v>
      </c>
      <c r="B19" s="48">
        <v>1.6705589999999999E-2</v>
      </c>
      <c r="C19" s="48">
        <v>2.3677457599999996</v>
      </c>
      <c r="D19" s="48">
        <v>0</v>
      </c>
      <c r="E19" s="48">
        <v>20.979181910000001</v>
      </c>
      <c r="F19" s="48">
        <v>1.04438E-2</v>
      </c>
      <c r="G19" s="48">
        <v>13.372730070000001</v>
      </c>
      <c r="H19" s="48">
        <v>6.2691700000000001E-3</v>
      </c>
      <c r="I19" s="48">
        <v>0.18498261999999999</v>
      </c>
      <c r="J19" s="48">
        <v>2.4661800400000002</v>
      </c>
    </row>
    <row r="20" spans="1:10" x14ac:dyDescent="0.25">
      <c r="A20" s="434" t="s">
        <v>22</v>
      </c>
      <c r="B20" s="48">
        <v>1.61882E-3</v>
      </c>
      <c r="C20" s="48">
        <v>2.0794031899999998</v>
      </c>
      <c r="D20" s="48">
        <v>2.3838330000000001E-2</v>
      </c>
      <c r="E20" s="48">
        <v>53.109673630000003</v>
      </c>
      <c r="F20" s="48">
        <v>1.9310799999999999E-3</v>
      </c>
      <c r="G20" s="48">
        <v>0.30861643</v>
      </c>
      <c r="H20" s="48">
        <v>2.6996854300000002</v>
      </c>
      <c r="I20" s="48">
        <v>3.4021731200000001</v>
      </c>
      <c r="J20" s="48">
        <v>2.9847000000000001E-4</v>
      </c>
    </row>
    <row r="21" spans="1:10" x14ac:dyDescent="0.25">
      <c r="A21" s="434" t="s">
        <v>192</v>
      </c>
      <c r="B21" s="48">
        <v>1.943309E-2</v>
      </c>
      <c r="C21" s="48">
        <v>1.8936003100000001</v>
      </c>
      <c r="D21" s="48">
        <v>0</v>
      </c>
      <c r="E21" s="48">
        <v>37.608164870000103</v>
      </c>
      <c r="F21" s="48">
        <v>3.0673300000000001E-3</v>
      </c>
      <c r="G21" s="48">
        <v>19.790922519999999</v>
      </c>
      <c r="H21" s="48">
        <v>0.25048872999999999</v>
      </c>
      <c r="I21" s="48">
        <v>0.27888594</v>
      </c>
      <c r="J21" s="48">
        <v>1.1652629299999999</v>
      </c>
    </row>
    <row r="22" spans="1:10" x14ac:dyDescent="0.25">
      <c r="A22" s="434" t="s">
        <v>133</v>
      </c>
      <c r="B22" s="48">
        <v>0</v>
      </c>
      <c r="C22" s="48">
        <v>1.3711192800000001</v>
      </c>
      <c r="D22" s="48">
        <v>0</v>
      </c>
      <c r="E22" s="48">
        <v>36.756692889999897</v>
      </c>
      <c r="F22" s="48">
        <v>0</v>
      </c>
      <c r="G22" s="48">
        <v>2.31046167</v>
      </c>
      <c r="H22" s="48">
        <v>0.99614446999999995</v>
      </c>
      <c r="I22" s="48">
        <v>1.6787018899999999</v>
      </c>
      <c r="J22" s="48">
        <v>1.3711192800000001</v>
      </c>
    </row>
    <row r="23" spans="1:10" x14ac:dyDescent="0.25">
      <c r="A23" s="434" t="s">
        <v>20</v>
      </c>
      <c r="B23" s="48">
        <v>0</v>
      </c>
      <c r="C23" s="48">
        <v>1.29628572</v>
      </c>
      <c r="D23" s="48">
        <v>0</v>
      </c>
      <c r="E23" s="48">
        <v>58.480789059999999</v>
      </c>
      <c r="F23" s="48">
        <v>0</v>
      </c>
      <c r="G23" s="48">
        <v>3.016224E-2</v>
      </c>
      <c r="H23" s="48">
        <v>0.51064946999999994</v>
      </c>
      <c r="I23" s="48">
        <v>0.51918299000000001</v>
      </c>
      <c r="J23" s="48">
        <v>1.2970472500000001</v>
      </c>
    </row>
    <row r="24" spans="1:10" x14ac:dyDescent="0.25">
      <c r="A24" s="434" t="s">
        <v>196</v>
      </c>
      <c r="B24" s="48">
        <v>9.8388999999999994E-3</v>
      </c>
      <c r="C24" s="48">
        <v>1.2788437099999999</v>
      </c>
      <c r="D24" s="48">
        <v>9.60307E-3</v>
      </c>
      <c r="E24" s="48">
        <v>9.6516630199999813</v>
      </c>
      <c r="F24" s="48">
        <v>3.7730200000000002E-3</v>
      </c>
      <c r="G24" s="48">
        <v>7.39635040000001</v>
      </c>
      <c r="H24" s="48">
        <v>2.2200569999999999E-2</v>
      </c>
      <c r="I24" s="48">
        <v>0.14638946</v>
      </c>
      <c r="J24" s="48">
        <v>0.18522664999999999</v>
      </c>
    </row>
    <row r="25" spans="1:10" x14ac:dyDescent="0.25">
      <c r="A25" s="434" t="s">
        <v>18</v>
      </c>
      <c r="B25" s="48">
        <v>0</v>
      </c>
      <c r="C25" s="48">
        <v>1.2553300000000001</v>
      </c>
      <c r="D25" s="48">
        <v>2.1370330000000003E-2</v>
      </c>
      <c r="E25" s="48">
        <v>44.096451960000095</v>
      </c>
      <c r="F25" s="48">
        <v>0</v>
      </c>
      <c r="G25" s="48">
        <v>3.2455560000000001E-2</v>
      </c>
      <c r="H25" s="48">
        <v>0</v>
      </c>
      <c r="I25" s="48">
        <v>4.9029540000000003E-2</v>
      </c>
      <c r="J25" s="48">
        <v>2.1918155600000002</v>
      </c>
    </row>
    <row r="26" spans="1:10" x14ac:dyDescent="0.25">
      <c r="A26" s="434" t="s">
        <v>215</v>
      </c>
      <c r="B26" s="48">
        <v>0</v>
      </c>
      <c r="C26" s="48">
        <v>1.0808310300000001</v>
      </c>
      <c r="D26" s="48">
        <v>0</v>
      </c>
      <c r="E26" s="48">
        <v>2.7713985600000002</v>
      </c>
      <c r="F26" s="48">
        <v>0</v>
      </c>
      <c r="G26" s="48">
        <v>10.127521849999999</v>
      </c>
      <c r="H26" s="48">
        <v>1.8970972500000001</v>
      </c>
      <c r="I26" s="48">
        <v>4.2920573300000004</v>
      </c>
      <c r="J26" s="48">
        <v>1.0808310300000001</v>
      </c>
    </row>
    <row r="27" spans="1:10" x14ac:dyDescent="0.25">
      <c r="A27" s="434" t="s">
        <v>146</v>
      </c>
      <c r="B27" s="48">
        <v>0</v>
      </c>
      <c r="C27" s="48">
        <v>1.0611768400000001</v>
      </c>
      <c r="D27" s="48">
        <v>2.9334330000000002E-2</v>
      </c>
      <c r="E27" s="48">
        <v>28.501904399999997</v>
      </c>
      <c r="F27" s="48">
        <v>0.23465137999999999</v>
      </c>
      <c r="G27" s="48">
        <v>155.03003793000002</v>
      </c>
      <c r="H27" s="48">
        <v>20.18022371</v>
      </c>
      <c r="I27" s="48">
        <v>70.765894599999996</v>
      </c>
      <c r="J27" s="48">
        <v>1.0611768400000001</v>
      </c>
    </row>
    <row r="28" spans="1:10" x14ac:dyDescent="0.25">
      <c r="A28" s="434" t="s">
        <v>194</v>
      </c>
      <c r="B28" s="48">
        <v>3.2546169999999999E-2</v>
      </c>
      <c r="C28" s="48">
        <v>1.0011978000000001</v>
      </c>
      <c r="D28" s="48">
        <v>0</v>
      </c>
      <c r="E28" s="48">
        <v>16.125246319999999</v>
      </c>
      <c r="F28" s="48">
        <v>1.4919900000000001E-3</v>
      </c>
      <c r="G28" s="48">
        <v>9.1344324400000207</v>
      </c>
      <c r="H28" s="48">
        <v>8.7857400000000002E-3</v>
      </c>
      <c r="I28" s="48">
        <v>0.11225807</v>
      </c>
      <c r="J28" s="48">
        <v>0.90643945999999997</v>
      </c>
    </row>
    <row r="29" spans="1:10" x14ac:dyDescent="0.25">
      <c r="A29" s="434" t="s">
        <v>81</v>
      </c>
      <c r="B29" s="48">
        <v>0.15527626999999999</v>
      </c>
      <c r="C29" s="48">
        <v>0.94695195999999993</v>
      </c>
      <c r="D29" s="48">
        <v>0.25478501999999997</v>
      </c>
      <c r="E29" s="48">
        <v>139.12951903999999</v>
      </c>
      <c r="F29" s="48">
        <v>4.9198095999999998</v>
      </c>
      <c r="G29" s="48">
        <v>49.518975040000001</v>
      </c>
      <c r="H29" s="48">
        <v>59.282044890000002</v>
      </c>
      <c r="I29" s="48">
        <v>73.466253039999899</v>
      </c>
      <c r="J29" s="48">
        <v>0.79167568999999993</v>
      </c>
    </row>
    <row r="30" spans="1:10" x14ac:dyDescent="0.25">
      <c r="A30" s="434" t="s">
        <v>28</v>
      </c>
      <c r="B30" s="48">
        <v>0</v>
      </c>
      <c r="C30" s="48">
        <v>0.93654576</v>
      </c>
      <c r="D30" s="48">
        <v>0</v>
      </c>
      <c r="E30" s="48">
        <v>141.06206280000001</v>
      </c>
      <c r="F30" s="48">
        <v>0.16419407999999999</v>
      </c>
      <c r="G30" s="48">
        <v>2.9173886099999997</v>
      </c>
      <c r="H30" s="48">
        <v>4.5603948199999902</v>
      </c>
      <c r="I30" s="48">
        <v>5.5930479499999901</v>
      </c>
      <c r="J30" s="48">
        <v>1.7254259999999997E-2</v>
      </c>
    </row>
    <row r="31" spans="1:10" x14ac:dyDescent="0.25">
      <c r="A31" s="434" t="s">
        <v>144</v>
      </c>
      <c r="B31" s="48">
        <v>0</v>
      </c>
      <c r="C31" s="48">
        <v>0.90304686000000001</v>
      </c>
      <c r="D31" s="48">
        <v>3.5603929999999999E-2</v>
      </c>
      <c r="E31" s="48">
        <v>8.6765321400000008</v>
      </c>
      <c r="F31" s="48">
        <v>9.8099999999999993E-3</v>
      </c>
      <c r="G31" s="48">
        <v>5.1470459100000001</v>
      </c>
      <c r="H31" s="48">
        <v>2.9568126499999998</v>
      </c>
      <c r="I31" s="48">
        <v>4.2381717600000002</v>
      </c>
      <c r="J31" s="48">
        <v>0.90304686000000001</v>
      </c>
    </row>
    <row r="32" spans="1:10" x14ac:dyDescent="0.25">
      <c r="A32" s="434" t="s">
        <v>15</v>
      </c>
      <c r="B32" s="48">
        <v>7.2452100000000005E-2</v>
      </c>
      <c r="C32" s="48">
        <v>0.63403412000000003</v>
      </c>
      <c r="D32" s="48">
        <v>0</v>
      </c>
      <c r="E32" s="48">
        <v>96.42880587000009</v>
      </c>
      <c r="F32" s="48">
        <v>8.7138700000000003E-3</v>
      </c>
      <c r="G32" s="48">
        <v>3.6035236500000001</v>
      </c>
      <c r="H32" s="48">
        <v>18.61243335</v>
      </c>
      <c r="I32" s="48">
        <v>18.63993979</v>
      </c>
      <c r="J32" s="48">
        <v>0.85558909999999999</v>
      </c>
    </row>
    <row r="33" spans="1:10" x14ac:dyDescent="0.25">
      <c r="A33" s="434" t="s">
        <v>83</v>
      </c>
      <c r="B33" s="48">
        <v>0.12334077</v>
      </c>
      <c r="C33" s="48">
        <v>0.58249784999999998</v>
      </c>
      <c r="D33" s="48">
        <v>4.0533300000000001E-2</v>
      </c>
      <c r="E33" s="48">
        <v>141.06797052000002</v>
      </c>
      <c r="F33" s="48">
        <v>9.4686469999999995E-2</v>
      </c>
      <c r="G33" s="48">
        <v>4.3002245700000001</v>
      </c>
      <c r="H33" s="48">
        <v>33.099949280000004</v>
      </c>
      <c r="I33" s="48">
        <v>37.683778079999996</v>
      </c>
      <c r="J33" s="48">
        <v>0.45915708</v>
      </c>
    </row>
    <row r="34" spans="1:10" x14ac:dyDescent="0.25">
      <c r="A34" s="434" t="s">
        <v>45</v>
      </c>
      <c r="B34" s="48">
        <v>0</v>
      </c>
      <c r="C34" s="48">
        <v>0.54569069999999997</v>
      </c>
      <c r="D34" s="48">
        <v>0</v>
      </c>
      <c r="E34" s="48">
        <v>2.5677738799999998</v>
      </c>
      <c r="F34" s="48">
        <v>0</v>
      </c>
      <c r="G34" s="48">
        <v>0.56276587</v>
      </c>
      <c r="H34" s="48">
        <v>0</v>
      </c>
      <c r="I34" s="48">
        <v>7.2134799999999995E-3</v>
      </c>
      <c r="J34" s="48">
        <v>0.54569069999999997</v>
      </c>
    </row>
    <row r="35" spans="1:10" x14ac:dyDescent="0.25">
      <c r="A35" s="434" t="s">
        <v>23</v>
      </c>
      <c r="B35" s="48">
        <v>0.51598325</v>
      </c>
      <c r="C35" s="48">
        <v>0.51606317999999995</v>
      </c>
      <c r="D35" s="48">
        <v>9.7492280000000001E-2</v>
      </c>
      <c r="E35" s="48">
        <v>14.473778970000001</v>
      </c>
      <c r="F35" s="48">
        <v>5.6863080000000003E-2</v>
      </c>
      <c r="G35" s="48">
        <v>0.45645055000000001</v>
      </c>
      <c r="H35" s="48">
        <v>0.99136829000000004</v>
      </c>
      <c r="I35" s="48">
        <v>0.92535610000000001</v>
      </c>
      <c r="J35" s="48">
        <v>2.206702E-2</v>
      </c>
    </row>
    <row r="36" spans="1:10" x14ac:dyDescent="0.25">
      <c r="A36" s="434" t="s">
        <v>84</v>
      </c>
      <c r="B36" s="48">
        <v>0.28099494000000003</v>
      </c>
      <c r="C36" s="48">
        <v>0.46168758000000004</v>
      </c>
      <c r="D36" s="48">
        <v>0.47539490000000001</v>
      </c>
      <c r="E36" s="48">
        <v>116.28866613</v>
      </c>
      <c r="F36" s="48">
        <v>4.7333480000000004E-2</v>
      </c>
      <c r="G36" s="48">
        <v>3.2951997099999999</v>
      </c>
      <c r="H36" s="48">
        <v>11.84961756</v>
      </c>
      <c r="I36" s="48">
        <v>25.105875820000001</v>
      </c>
      <c r="J36" s="48">
        <v>0.18580764000000002</v>
      </c>
    </row>
    <row r="37" spans="1:10" x14ac:dyDescent="0.25">
      <c r="A37" s="434" t="s">
        <v>197</v>
      </c>
      <c r="B37" s="48">
        <v>1.64405E-3</v>
      </c>
      <c r="C37" s="48">
        <v>0.43134534000000002</v>
      </c>
      <c r="D37" s="48">
        <v>0</v>
      </c>
      <c r="E37" s="48">
        <v>13.1764019</v>
      </c>
      <c r="F37" s="48">
        <v>5.8730589999999999E-2</v>
      </c>
      <c r="G37" s="48">
        <v>9.2129741500000009</v>
      </c>
      <c r="H37" s="48">
        <v>0.10956025</v>
      </c>
      <c r="I37" s="48">
        <v>0.27362721999999995</v>
      </c>
      <c r="J37" s="48">
        <v>0.42995593999999998</v>
      </c>
    </row>
    <row r="38" spans="1:10" x14ac:dyDescent="0.25">
      <c r="A38" s="434" t="s">
        <v>75</v>
      </c>
      <c r="B38" s="48">
        <v>0.42016348999999997</v>
      </c>
      <c r="C38" s="48">
        <v>0.42040078999999997</v>
      </c>
      <c r="D38" s="48">
        <v>0</v>
      </c>
      <c r="E38" s="48">
        <v>12.749790000000001</v>
      </c>
      <c r="F38" s="48">
        <v>1.3630299999999999E-3</v>
      </c>
      <c r="G38" s="48">
        <v>3.2081825400000001</v>
      </c>
      <c r="H38" s="48">
        <v>12.78117134</v>
      </c>
      <c r="I38" s="48">
        <v>22.20628632</v>
      </c>
      <c r="J38" s="48">
        <v>0</v>
      </c>
    </row>
    <row r="39" spans="1:10" x14ac:dyDescent="0.25">
      <c r="A39" s="434" t="s">
        <v>137</v>
      </c>
      <c r="B39" s="48">
        <v>0</v>
      </c>
      <c r="C39" s="48">
        <v>0.38407756999999998</v>
      </c>
      <c r="D39" s="48">
        <v>2.0055000000000002E-4</v>
      </c>
      <c r="E39" s="48">
        <v>20.620307699999998</v>
      </c>
      <c r="F39" s="48">
        <v>7.0426200000000003E-3</v>
      </c>
      <c r="G39" s="48">
        <v>8.990187230000009</v>
      </c>
      <c r="H39" s="48">
        <v>0.77778849999999999</v>
      </c>
      <c r="I39" s="48">
        <v>0.83249155000000008</v>
      </c>
      <c r="J39" s="48">
        <v>0.38407756999999998</v>
      </c>
    </row>
    <row r="40" spans="1:10" x14ac:dyDescent="0.25">
      <c r="A40" s="434" t="s">
        <v>72</v>
      </c>
      <c r="B40" s="48">
        <v>0</v>
      </c>
      <c r="C40" s="48">
        <v>0.38046959999999996</v>
      </c>
      <c r="D40" s="48">
        <v>0</v>
      </c>
      <c r="E40" s="48">
        <v>0.71205772000000001</v>
      </c>
      <c r="F40" s="48">
        <v>2.1395270000000001E-2</v>
      </c>
      <c r="G40" s="48">
        <v>6.5070039999999996E-2</v>
      </c>
      <c r="H40" s="48">
        <v>9.3860449999999998E-2</v>
      </c>
      <c r="I40" s="48">
        <v>0.13559251999999999</v>
      </c>
      <c r="J40" s="48">
        <v>0</v>
      </c>
    </row>
    <row r="41" spans="1:10" x14ac:dyDescent="0.25">
      <c r="A41" s="434" t="s">
        <v>38</v>
      </c>
      <c r="B41" s="48">
        <v>0</v>
      </c>
      <c r="C41" s="48">
        <v>0.37605300000000003</v>
      </c>
      <c r="D41" s="48">
        <v>0</v>
      </c>
      <c r="E41" s="48">
        <v>28.603979260000003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</row>
    <row r="42" spans="1:10" x14ac:dyDescent="0.25">
      <c r="A42" s="434" t="s">
        <v>168</v>
      </c>
      <c r="B42" s="48">
        <v>0.37558709000000001</v>
      </c>
      <c r="C42" s="48">
        <v>0.37558709000000001</v>
      </c>
      <c r="D42" s="48">
        <v>0</v>
      </c>
      <c r="E42" s="48">
        <v>19.771583280000002</v>
      </c>
      <c r="F42" s="48">
        <v>1.7439349999999999E-2</v>
      </c>
      <c r="G42" s="48">
        <v>11.71756611</v>
      </c>
      <c r="H42" s="48">
        <v>0.69688961999999999</v>
      </c>
      <c r="I42" s="48">
        <v>0.86739631000000006</v>
      </c>
      <c r="J42" s="48">
        <v>0</v>
      </c>
    </row>
    <row r="43" spans="1:10" x14ac:dyDescent="0.25">
      <c r="A43" s="434" t="s">
        <v>59</v>
      </c>
      <c r="B43" s="48">
        <v>0</v>
      </c>
      <c r="C43" s="48">
        <v>0.34848471999999997</v>
      </c>
      <c r="D43" s="48">
        <v>0</v>
      </c>
      <c r="E43" s="48">
        <v>3.0883230299999997</v>
      </c>
      <c r="F43" s="48">
        <v>0</v>
      </c>
      <c r="G43" s="48">
        <v>0.19401878</v>
      </c>
      <c r="H43" s="48">
        <v>0</v>
      </c>
      <c r="I43" s="48">
        <v>0</v>
      </c>
      <c r="J43" s="48">
        <v>0.34848471999999997</v>
      </c>
    </row>
    <row r="44" spans="1:10" x14ac:dyDescent="0.25">
      <c r="A44" s="434" t="s">
        <v>176</v>
      </c>
      <c r="B44" s="48">
        <v>6.7032100000000002E-3</v>
      </c>
      <c r="C44" s="48">
        <v>0.29658161</v>
      </c>
      <c r="D44" s="48">
        <v>0</v>
      </c>
      <c r="E44" s="48">
        <v>54.802944429999997</v>
      </c>
      <c r="F44" s="48">
        <v>0.21608115999999999</v>
      </c>
      <c r="G44" s="48">
        <v>24.37607736</v>
      </c>
      <c r="H44" s="48">
        <v>4.0765343199999995</v>
      </c>
      <c r="I44" s="48">
        <v>4.62865211</v>
      </c>
      <c r="J44" s="48">
        <v>0</v>
      </c>
    </row>
    <row r="45" spans="1:10" x14ac:dyDescent="0.25">
      <c r="A45" s="434" t="s">
        <v>106</v>
      </c>
      <c r="B45" s="48">
        <v>0</v>
      </c>
      <c r="C45" s="48">
        <v>0.28788661999999998</v>
      </c>
      <c r="D45" s="48">
        <v>6.5611899999999997E-3</v>
      </c>
      <c r="E45" s="48">
        <v>126.03876665999999</v>
      </c>
      <c r="F45" s="48">
        <v>9.7540000000000005E-5</v>
      </c>
      <c r="G45" s="48">
        <v>3.3174778199999997</v>
      </c>
      <c r="H45" s="48">
        <v>6.9571410499999997</v>
      </c>
      <c r="I45" s="48">
        <v>7.1061950999999999</v>
      </c>
      <c r="J45" s="48">
        <v>0</v>
      </c>
    </row>
    <row r="46" spans="1:10" x14ac:dyDescent="0.25">
      <c r="A46" s="434" t="s">
        <v>105</v>
      </c>
      <c r="B46" s="48">
        <v>0.26987518999999999</v>
      </c>
      <c r="C46" s="48">
        <v>0.26987518999999999</v>
      </c>
      <c r="D46" s="48">
        <v>0</v>
      </c>
      <c r="E46" s="48">
        <v>97.194650630000098</v>
      </c>
      <c r="F46" s="48">
        <v>0.65615091000000003</v>
      </c>
      <c r="G46" s="48">
        <v>4.2120095199999996</v>
      </c>
      <c r="H46" s="48">
        <v>9.8128469499999902</v>
      </c>
      <c r="I46" s="48">
        <v>17.47010835</v>
      </c>
      <c r="J46" s="48">
        <v>1.0830499999999999E-3</v>
      </c>
    </row>
    <row r="47" spans="1:10" x14ac:dyDescent="0.25">
      <c r="A47" s="434" t="s">
        <v>19</v>
      </c>
      <c r="B47" s="48">
        <v>3.0994770000000001E-2</v>
      </c>
      <c r="C47" s="48">
        <v>0.24405713000000001</v>
      </c>
      <c r="D47" s="48">
        <v>2.8536600000000001E-3</v>
      </c>
      <c r="E47" s="48">
        <v>21.175213710000001</v>
      </c>
      <c r="F47" s="48">
        <v>0</v>
      </c>
      <c r="G47" s="48">
        <v>0.26873723999999999</v>
      </c>
      <c r="H47" s="48">
        <v>0.38219739000000003</v>
      </c>
      <c r="I47" s="48">
        <v>0.39859024999999998</v>
      </c>
      <c r="J47" s="48">
        <v>2.2799999999999998E-6</v>
      </c>
    </row>
    <row r="48" spans="1:10" x14ac:dyDescent="0.25">
      <c r="A48" s="434" t="s">
        <v>24</v>
      </c>
      <c r="B48" s="48">
        <v>7.7797020000000008E-2</v>
      </c>
      <c r="C48" s="48">
        <v>0.19048989999999999</v>
      </c>
      <c r="D48" s="48">
        <v>0</v>
      </c>
      <c r="E48" s="48">
        <v>33.448138980000003</v>
      </c>
      <c r="F48" s="48">
        <v>3.7917260000000001E-2</v>
      </c>
      <c r="G48" s="48">
        <v>0.87367861999999996</v>
      </c>
      <c r="H48" s="48">
        <v>6.3491410400000001</v>
      </c>
      <c r="I48" s="48">
        <v>6.56317547</v>
      </c>
      <c r="J48" s="48">
        <v>6.9050320000000012E-2</v>
      </c>
    </row>
    <row r="49" spans="1:10" x14ac:dyDescent="0.25">
      <c r="A49" s="434" t="s">
        <v>198</v>
      </c>
      <c r="B49" s="48">
        <v>8.0244500000000007E-3</v>
      </c>
      <c r="C49" s="48">
        <v>0.16752454999999999</v>
      </c>
      <c r="D49" s="48">
        <v>0.15519627999999999</v>
      </c>
      <c r="E49" s="48">
        <v>37.445859270000007</v>
      </c>
      <c r="F49" s="48">
        <v>3.7529999999999998E-3</v>
      </c>
      <c r="G49" s="48">
        <v>27.32138016</v>
      </c>
      <c r="H49" s="48">
        <v>0.56404451</v>
      </c>
      <c r="I49" s="48">
        <v>1.0579153300000002</v>
      </c>
      <c r="J49" s="48">
        <v>0.16243742</v>
      </c>
    </row>
    <row r="50" spans="1:10" x14ac:dyDescent="0.25">
      <c r="A50" s="434" t="s">
        <v>70</v>
      </c>
      <c r="B50" s="48">
        <v>0</v>
      </c>
      <c r="C50" s="48">
        <v>0.16515213000000001</v>
      </c>
      <c r="D50" s="48">
        <v>0</v>
      </c>
      <c r="E50" s="48">
        <v>0.96529334</v>
      </c>
      <c r="F50" s="48">
        <v>0</v>
      </c>
      <c r="G50" s="48">
        <v>1.1615424599999999</v>
      </c>
      <c r="H50" s="48">
        <v>2.4728090000000001E-2</v>
      </c>
      <c r="I50" s="48">
        <v>3.5699410000000001E-2</v>
      </c>
      <c r="J50" s="48">
        <v>0</v>
      </c>
    </row>
    <row r="51" spans="1:10" x14ac:dyDescent="0.25">
      <c r="A51" s="434" t="s">
        <v>111</v>
      </c>
      <c r="B51" s="48">
        <v>0</v>
      </c>
      <c r="C51" s="48">
        <v>0.13365905</v>
      </c>
      <c r="D51" s="48">
        <v>0</v>
      </c>
      <c r="E51" s="48">
        <v>5.8163449600000003</v>
      </c>
      <c r="F51" s="48">
        <v>0</v>
      </c>
      <c r="G51" s="48">
        <v>0.24378005</v>
      </c>
      <c r="H51" s="48">
        <v>1.288275E-2</v>
      </c>
      <c r="I51" s="48">
        <v>2.8714279999999998E-2</v>
      </c>
      <c r="J51" s="48">
        <v>0.57959439000000001</v>
      </c>
    </row>
    <row r="52" spans="1:10" x14ac:dyDescent="0.25">
      <c r="A52" s="434" t="s">
        <v>214</v>
      </c>
      <c r="B52" s="48">
        <v>0.1054412</v>
      </c>
      <c r="C52" s="48">
        <v>0.11955125999999999</v>
      </c>
      <c r="D52" s="48">
        <v>9.0355999999999995E-3</v>
      </c>
      <c r="E52" s="48">
        <v>37.300922419999999</v>
      </c>
      <c r="F52" s="48">
        <v>1.3727714900000001</v>
      </c>
      <c r="G52" s="48">
        <v>9.1102203699999986</v>
      </c>
      <c r="H52" s="48">
        <v>3.0726083900000001</v>
      </c>
      <c r="I52" s="48">
        <v>7.6226897999999998</v>
      </c>
      <c r="J52" s="48">
        <v>1.29496E-2</v>
      </c>
    </row>
    <row r="53" spans="1:10" x14ac:dyDescent="0.25">
      <c r="A53" s="434" t="s">
        <v>158</v>
      </c>
      <c r="B53" s="48">
        <v>9.6297009999999988E-2</v>
      </c>
      <c r="C53" s="48">
        <v>0.11728885</v>
      </c>
      <c r="D53" s="48">
        <v>0.24161467</v>
      </c>
      <c r="E53" s="48">
        <v>24.519314510000001</v>
      </c>
      <c r="F53" s="48">
        <v>5.7203900000000005E-3</v>
      </c>
      <c r="G53" s="48">
        <v>19.982447780000001</v>
      </c>
      <c r="H53" s="48">
        <v>12.4078193</v>
      </c>
      <c r="I53" s="48">
        <v>27.30656638</v>
      </c>
      <c r="J53" s="48">
        <v>2.2350560000000002E-2</v>
      </c>
    </row>
    <row r="54" spans="1:10" x14ac:dyDescent="0.25">
      <c r="A54" s="434" t="s">
        <v>16</v>
      </c>
      <c r="B54" s="48">
        <v>0.10879617</v>
      </c>
      <c r="C54" s="48">
        <v>0.10879617</v>
      </c>
      <c r="D54" s="48">
        <v>0</v>
      </c>
      <c r="E54" s="48">
        <v>36.163664279999999</v>
      </c>
      <c r="F54" s="48">
        <v>0</v>
      </c>
      <c r="G54" s="48">
        <v>0.12443766000000001</v>
      </c>
      <c r="H54" s="48">
        <v>1.8685589999999998E-2</v>
      </c>
      <c r="I54" s="48">
        <v>0.15689876</v>
      </c>
      <c r="J54" s="48">
        <v>0</v>
      </c>
    </row>
    <row r="55" spans="1:10" x14ac:dyDescent="0.25">
      <c r="A55" s="434" t="s">
        <v>58</v>
      </c>
      <c r="B55" s="48">
        <v>9.4025289999999997E-2</v>
      </c>
      <c r="C55" s="48">
        <v>9.4025289999999997E-2</v>
      </c>
      <c r="D55" s="48">
        <v>0</v>
      </c>
      <c r="E55" s="48">
        <v>18.149762329999998</v>
      </c>
      <c r="F55" s="48">
        <v>0</v>
      </c>
      <c r="G55" s="48">
        <v>0.12815686000000001</v>
      </c>
      <c r="H55" s="48">
        <v>3.81599384</v>
      </c>
      <c r="I55" s="48">
        <v>3.8753948599999997</v>
      </c>
      <c r="J55" s="48">
        <v>3.2583790000000001E-2</v>
      </c>
    </row>
    <row r="56" spans="1:10" x14ac:dyDescent="0.25">
      <c r="A56" s="434" t="s">
        <v>12</v>
      </c>
      <c r="B56" s="48">
        <v>0</v>
      </c>
      <c r="C56" s="48">
        <v>8.8209999999999997E-2</v>
      </c>
      <c r="D56" s="48">
        <v>0</v>
      </c>
      <c r="E56" s="48">
        <v>95.726418100000103</v>
      </c>
      <c r="F56" s="48">
        <v>0</v>
      </c>
      <c r="G56" s="48">
        <v>0</v>
      </c>
      <c r="H56" s="48">
        <v>0</v>
      </c>
      <c r="I56" s="48">
        <v>0</v>
      </c>
      <c r="J56" s="48">
        <v>9.1783339999999991E-2</v>
      </c>
    </row>
    <row r="57" spans="1:10" x14ac:dyDescent="0.25">
      <c r="A57" s="434" t="s">
        <v>104</v>
      </c>
      <c r="B57" s="48">
        <v>1.523685E-2</v>
      </c>
      <c r="C57" s="48">
        <v>6.2255739999999997E-2</v>
      </c>
      <c r="D57" s="48">
        <v>0</v>
      </c>
      <c r="E57" s="48">
        <v>22.424539960000001</v>
      </c>
      <c r="F57" s="48">
        <v>0</v>
      </c>
      <c r="G57" s="48">
        <v>1.4639424099999998</v>
      </c>
      <c r="H57" s="48">
        <v>0.18427635000000001</v>
      </c>
      <c r="I57" s="48">
        <v>0.32203171000000003</v>
      </c>
      <c r="J57" s="48">
        <v>4.7018890000000001E-2</v>
      </c>
    </row>
    <row r="58" spans="1:10" x14ac:dyDescent="0.25">
      <c r="A58" s="434" t="s">
        <v>156</v>
      </c>
      <c r="B58" s="48">
        <v>0</v>
      </c>
      <c r="C58" s="48">
        <v>4.8414100000000002E-2</v>
      </c>
      <c r="D58" s="48">
        <v>9.3480500000000001E-3</v>
      </c>
      <c r="E58" s="48">
        <v>32.467898869999999</v>
      </c>
      <c r="F58" s="48">
        <v>5.5431000000000001E-2</v>
      </c>
      <c r="G58" s="48">
        <v>22.273107899999999</v>
      </c>
      <c r="H58" s="48">
        <v>5.7697571200000004</v>
      </c>
      <c r="I58" s="48">
        <v>10.509705960000002</v>
      </c>
      <c r="J58" s="48">
        <v>0</v>
      </c>
    </row>
    <row r="59" spans="1:10" x14ac:dyDescent="0.25">
      <c r="A59" s="434" t="s">
        <v>208</v>
      </c>
      <c r="B59" s="48">
        <v>2.904793E-2</v>
      </c>
      <c r="C59" s="48">
        <v>4.5612019999999996E-2</v>
      </c>
      <c r="D59" s="48">
        <v>2.6272800000000001E-3</v>
      </c>
      <c r="E59" s="48">
        <v>161.97847951</v>
      </c>
      <c r="F59" s="48">
        <v>0.11422942999999999</v>
      </c>
      <c r="G59" s="48">
        <v>16.675020610000001</v>
      </c>
      <c r="H59" s="48">
        <v>7.4034669100000103</v>
      </c>
      <c r="I59" s="48">
        <v>11.2905485</v>
      </c>
      <c r="J59" s="48">
        <v>1.2992719999999999E-2</v>
      </c>
    </row>
    <row r="60" spans="1:10" x14ac:dyDescent="0.25">
      <c r="A60" s="434" t="s">
        <v>173</v>
      </c>
      <c r="B60" s="48">
        <v>3.5452259999999999E-2</v>
      </c>
      <c r="C60" s="48">
        <v>3.5452259999999999E-2</v>
      </c>
      <c r="D60" s="48">
        <v>1.088686E-2</v>
      </c>
      <c r="E60" s="48">
        <v>41.544992979999996</v>
      </c>
      <c r="F60" s="48">
        <v>0.28724767000000001</v>
      </c>
      <c r="G60" s="48">
        <v>21.930414850000002</v>
      </c>
      <c r="H60" s="48">
        <v>9.9556116700000086</v>
      </c>
      <c r="I60" s="48">
        <v>21.394023570000002</v>
      </c>
      <c r="J60" s="48">
        <v>0</v>
      </c>
    </row>
    <row r="61" spans="1:10" x14ac:dyDescent="0.25">
      <c r="A61" s="434" t="s">
        <v>358</v>
      </c>
      <c r="B61" s="48">
        <v>0</v>
      </c>
      <c r="C61" s="48">
        <v>3.5219099999999996E-2</v>
      </c>
      <c r="D61" s="48">
        <v>0</v>
      </c>
      <c r="E61" s="48">
        <v>65.078324979999991</v>
      </c>
      <c r="F61" s="48">
        <v>0</v>
      </c>
      <c r="G61" s="48">
        <v>86.542447659999993</v>
      </c>
      <c r="H61" s="48">
        <v>44.102540470000001</v>
      </c>
      <c r="I61" s="48">
        <v>178.98507861000002</v>
      </c>
      <c r="J61" s="48">
        <v>3.5219099999999996E-2</v>
      </c>
    </row>
    <row r="62" spans="1:10" x14ac:dyDescent="0.25">
      <c r="A62" s="434" t="s">
        <v>138</v>
      </c>
      <c r="B62" s="48">
        <v>3.1562E-2</v>
      </c>
      <c r="C62" s="48">
        <v>3.3734989999999999E-2</v>
      </c>
      <c r="D62" s="48">
        <v>1.77036E-2</v>
      </c>
      <c r="E62" s="48">
        <v>110.210109810001</v>
      </c>
      <c r="F62" s="48">
        <v>0.10080666000000001</v>
      </c>
      <c r="G62" s="48">
        <v>22.499242370000001</v>
      </c>
      <c r="H62" s="48">
        <v>9.0426706499999998</v>
      </c>
      <c r="I62" s="48">
        <v>18.596454550000001</v>
      </c>
      <c r="J62" s="48">
        <v>0.45483219000000003</v>
      </c>
    </row>
    <row r="63" spans="1:10" x14ac:dyDescent="0.25">
      <c r="A63" s="434" t="s">
        <v>26</v>
      </c>
      <c r="B63" s="48">
        <v>2.2882720000000002E-2</v>
      </c>
      <c r="C63" s="48">
        <v>3.3418660000000003E-2</v>
      </c>
      <c r="D63" s="48">
        <v>0</v>
      </c>
      <c r="E63" s="48">
        <v>34.60680507</v>
      </c>
      <c r="F63" s="48">
        <v>0</v>
      </c>
      <c r="G63" s="48">
        <v>0.15943476000000001</v>
      </c>
      <c r="H63" s="48">
        <v>8.7011980000000003E-2</v>
      </c>
      <c r="I63" s="48">
        <v>8.7632679999999991E-2</v>
      </c>
      <c r="J63" s="48">
        <v>1.0539659999999999E-2</v>
      </c>
    </row>
    <row r="64" spans="1:10" x14ac:dyDescent="0.25">
      <c r="A64" s="434" t="s">
        <v>200</v>
      </c>
      <c r="B64" s="48">
        <v>0</v>
      </c>
      <c r="C64" s="48">
        <v>3.2807250000000003E-2</v>
      </c>
      <c r="D64" s="48">
        <v>5.8127999999999999E-3</v>
      </c>
      <c r="E64" s="48">
        <v>25.412539949999999</v>
      </c>
      <c r="F64" s="48">
        <v>0.89809092000000001</v>
      </c>
      <c r="G64" s="48">
        <v>7.5056545499999894</v>
      </c>
      <c r="H64" s="48">
        <v>15.304019</v>
      </c>
      <c r="I64" s="48">
        <v>23.14420552</v>
      </c>
      <c r="J64" s="48">
        <v>3.2807250000000003E-2</v>
      </c>
    </row>
    <row r="65" spans="1:10" x14ac:dyDescent="0.25">
      <c r="A65" s="434" t="s">
        <v>30</v>
      </c>
      <c r="B65" s="48">
        <v>0</v>
      </c>
      <c r="C65" s="48">
        <v>3.2708000000000001E-2</v>
      </c>
      <c r="D65" s="48">
        <v>4.145629E-2</v>
      </c>
      <c r="E65" s="48">
        <v>217.31099896000001</v>
      </c>
      <c r="F65" s="48">
        <v>0</v>
      </c>
      <c r="G65" s="48">
        <v>4.6410145999999992</v>
      </c>
      <c r="H65" s="48">
        <v>35.157035540000003</v>
      </c>
      <c r="I65" s="48">
        <v>42.56436016</v>
      </c>
      <c r="J65" s="48">
        <v>3.3599690000000001E-2</v>
      </c>
    </row>
    <row r="66" spans="1:10" x14ac:dyDescent="0.25">
      <c r="A66" s="434" t="s">
        <v>113</v>
      </c>
      <c r="B66" s="48">
        <v>4.3093E-4</v>
      </c>
      <c r="C66" s="48">
        <v>3.1109099999999997E-2</v>
      </c>
      <c r="D66" s="48">
        <v>0</v>
      </c>
      <c r="E66" s="48">
        <v>69.896112959999698</v>
      </c>
      <c r="F66" s="48">
        <v>4.4710000000000001E-3</v>
      </c>
      <c r="G66" s="48">
        <v>14.057546960000002</v>
      </c>
      <c r="H66" s="48">
        <v>1.9755817</v>
      </c>
      <c r="I66" s="48">
        <v>3.3198186499999998</v>
      </c>
      <c r="J66" s="48">
        <v>3.0799099999999999E-2</v>
      </c>
    </row>
    <row r="67" spans="1:10" x14ac:dyDescent="0.25">
      <c r="A67" s="434" t="s">
        <v>213</v>
      </c>
      <c r="B67" s="48">
        <v>8.8099999999999995E-4</v>
      </c>
      <c r="C67" s="48">
        <v>2.5853849999999998E-2</v>
      </c>
      <c r="D67" s="48">
        <v>0</v>
      </c>
      <c r="E67" s="48">
        <v>3.6549608900000004</v>
      </c>
      <c r="F67" s="48">
        <v>2.4910020000000001E-2</v>
      </c>
      <c r="G67" s="48">
        <v>5.1848521299999994</v>
      </c>
      <c r="H67" s="48">
        <v>0.30251454</v>
      </c>
      <c r="I67" s="48">
        <v>0.68853222999999997</v>
      </c>
      <c r="J67" s="48">
        <v>2.4972849999999998E-2</v>
      </c>
    </row>
    <row r="68" spans="1:10" x14ac:dyDescent="0.25">
      <c r="A68" s="434" t="s">
        <v>187</v>
      </c>
      <c r="B68" s="48">
        <v>2.5389200000000001E-2</v>
      </c>
      <c r="C68" s="48">
        <v>2.5389200000000001E-2</v>
      </c>
      <c r="D68" s="48">
        <v>0</v>
      </c>
      <c r="E68" s="48">
        <v>5.1873915000000004</v>
      </c>
      <c r="F68" s="48">
        <v>0</v>
      </c>
      <c r="G68" s="48">
        <v>0.11466091</v>
      </c>
      <c r="H68" s="48">
        <v>0.23984778000000001</v>
      </c>
      <c r="I68" s="48">
        <v>0.62992749999999997</v>
      </c>
      <c r="J68" s="48">
        <v>0</v>
      </c>
    </row>
    <row r="69" spans="1:10" x14ac:dyDescent="0.25">
      <c r="A69" s="434" t="s">
        <v>119</v>
      </c>
      <c r="B69" s="48">
        <v>8.8280800000000003E-3</v>
      </c>
      <c r="C69" s="48">
        <v>2.5105849999999999E-2</v>
      </c>
      <c r="D69" s="48">
        <v>1.9613099999999998E-2</v>
      </c>
      <c r="E69" s="48">
        <v>37.767066820000004</v>
      </c>
      <c r="F69" s="48">
        <v>7.8085100000000003E-3</v>
      </c>
      <c r="G69" s="48">
        <v>3.0230178400000001</v>
      </c>
      <c r="H69" s="48">
        <v>0.61923731999999998</v>
      </c>
      <c r="I69" s="48">
        <v>0.77446792000000009</v>
      </c>
      <c r="J69" s="48">
        <v>13.867937</v>
      </c>
    </row>
    <row r="70" spans="1:10" x14ac:dyDescent="0.25">
      <c r="A70" s="434" t="s">
        <v>93</v>
      </c>
      <c r="B70" s="48">
        <v>2.2114990000000001E-2</v>
      </c>
      <c r="C70" s="48">
        <v>2.439405E-2</v>
      </c>
      <c r="D70" s="48">
        <v>3.4383299999999999E-3</v>
      </c>
      <c r="E70" s="48">
        <v>15.069922080000101</v>
      </c>
      <c r="F70" s="48">
        <v>3.0878899999999998E-3</v>
      </c>
      <c r="G70" s="48">
        <v>0.91680782999999999</v>
      </c>
      <c r="H70" s="48">
        <v>1.2489834099999999</v>
      </c>
      <c r="I70" s="48">
        <v>1.60858295</v>
      </c>
      <c r="J70" s="48">
        <v>0</v>
      </c>
    </row>
    <row r="71" spans="1:10" x14ac:dyDescent="0.25">
      <c r="A71" s="434" t="s">
        <v>189</v>
      </c>
      <c r="B71" s="48">
        <v>0</v>
      </c>
      <c r="C71" s="48">
        <v>2.1716659999999999E-2</v>
      </c>
      <c r="D71" s="48">
        <v>5.550799E-2</v>
      </c>
      <c r="E71" s="48">
        <v>108.02097151000001</v>
      </c>
      <c r="F71" s="48">
        <v>1.5643649999999999E-2</v>
      </c>
      <c r="G71" s="48">
        <v>15.21070156</v>
      </c>
      <c r="H71" s="48">
        <v>1.4056986</v>
      </c>
      <c r="I71" s="48">
        <v>3.0497280600000001</v>
      </c>
      <c r="J71" s="48">
        <v>2.1716659999999999E-2</v>
      </c>
    </row>
    <row r="72" spans="1:10" x14ac:dyDescent="0.25">
      <c r="A72" s="434" t="s">
        <v>71</v>
      </c>
      <c r="B72" s="48">
        <v>0</v>
      </c>
      <c r="C72" s="48">
        <v>2.0296749999999999E-2</v>
      </c>
      <c r="D72" s="48">
        <v>0</v>
      </c>
      <c r="E72" s="48">
        <v>1.6436416100000002</v>
      </c>
      <c r="F72" s="48">
        <v>3.1754327200000003</v>
      </c>
      <c r="G72" s="48">
        <v>3.0454706499999999</v>
      </c>
      <c r="H72" s="48">
        <v>2.9755058299999999</v>
      </c>
      <c r="I72" s="48">
        <v>6.7167732000000004</v>
      </c>
      <c r="J72" s="48">
        <v>0</v>
      </c>
    </row>
    <row r="73" spans="1:10" x14ac:dyDescent="0.25">
      <c r="A73" s="434" t="s">
        <v>160</v>
      </c>
      <c r="B73" s="48">
        <v>0</v>
      </c>
      <c r="C73" s="48">
        <v>1.9829799999999998E-2</v>
      </c>
      <c r="D73" s="48">
        <v>7.5572810000000004E-2</v>
      </c>
      <c r="E73" s="48">
        <v>19.567680980000002</v>
      </c>
      <c r="F73" s="48">
        <v>1.96591E-3</v>
      </c>
      <c r="G73" s="48">
        <v>7.36080136</v>
      </c>
      <c r="H73" s="48">
        <v>5.0466914100000002</v>
      </c>
      <c r="I73" s="48">
        <v>5.9370668099999993</v>
      </c>
      <c r="J73" s="48">
        <v>1.9829799999999998E-2</v>
      </c>
    </row>
    <row r="74" spans="1:10" x14ac:dyDescent="0.25">
      <c r="A74" s="434" t="s">
        <v>161</v>
      </c>
      <c r="B74" s="48">
        <v>0</v>
      </c>
      <c r="C74" s="48">
        <v>1.5512069999999999E-2</v>
      </c>
      <c r="D74" s="48">
        <v>8.9609160000000007E-2</v>
      </c>
      <c r="E74" s="48">
        <v>1.8744398200000001</v>
      </c>
      <c r="F74" s="48">
        <v>8.0970529999999999E-2</v>
      </c>
      <c r="G74" s="48">
        <v>2.0595286399999999</v>
      </c>
      <c r="H74" s="48">
        <v>2.74756439</v>
      </c>
      <c r="I74" s="48">
        <v>5.9909504400000007</v>
      </c>
      <c r="J74" s="48">
        <v>1.5512069999999999E-2</v>
      </c>
    </row>
    <row r="75" spans="1:10" x14ac:dyDescent="0.25">
      <c r="A75" s="434" t="s">
        <v>205</v>
      </c>
      <c r="B75" s="48">
        <v>4.7459499999999996E-3</v>
      </c>
      <c r="C75" s="48">
        <v>1.368193E-2</v>
      </c>
      <c r="D75" s="48">
        <v>0</v>
      </c>
      <c r="E75" s="48">
        <v>2.0348769299999998</v>
      </c>
      <c r="F75" s="48">
        <v>3.0631869999999999E-2</v>
      </c>
      <c r="G75" s="48">
        <v>10.59861776</v>
      </c>
      <c r="H75" s="48">
        <v>4.3193879999999997E-2</v>
      </c>
      <c r="I75" s="48">
        <v>0.36532534999999999</v>
      </c>
      <c r="J75" s="48">
        <v>3.8055000000000001E-4</v>
      </c>
    </row>
    <row r="76" spans="1:10" x14ac:dyDescent="0.25">
      <c r="A76" s="434" t="s">
        <v>190</v>
      </c>
      <c r="B76" s="48">
        <v>7.2336000000000006E-3</v>
      </c>
      <c r="C76" s="48">
        <v>1.3506559999999999E-2</v>
      </c>
      <c r="D76" s="48">
        <v>0</v>
      </c>
      <c r="E76" s="48">
        <v>11.544618829999999</v>
      </c>
      <c r="F76" s="48">
        <v>9.3490000000000001E-5</v>
      </c>
      <c r="G76" s="48">
        <v>22.29010688</v>
      </c>
      <c r="H76" s="48">
        <v>0.16896416</v>
      </c>
      <c r="I76" s="48">
        <v>0.36273516</v>
      </c>
      <c r="J76" s="48">
        <v>7.7617500000000004E-3</v>
      </c>
    </row>
    <row r="77" spans="1:10" x14ac:dyDescent="0.25">
      <c r="A77" s="434" t="s">
        <v>212</v>
      </c>
      <c r="B77" s="48">
        <v>1.3598499999999999E-3</v>
      </c>
      <c r="C77" s="48">
        <v>1.2913350000000001E-2</v>
      </c>
      <c r="D77" s="48">
        <v>3.0865500000000001E-2</v>
      </c>
      <c r="E77" s="48">
        <v>4.7201356199999998</v>
      </c>
      <c r="F77" s="48">
        <v>0</v>
      </c>
      <c r="G77" s="48">
        <v>4.4693704199999997</v>
      </c>
      <c r="H77" s="48">
        <v>0.45798821999999995</v>
      </c>
      <c r="I77" s="48">
        <v>0.74696753000000005</v>
      </c>
      <c r="J77" s="48">
        <v>1.207103E-2</v>
      </c>
    </row>
    <row r="78" spans="1:10" x14ac:dyDescent="0.25">
      <c r="A78" s="434" t="s">
        <v>209</v>
      </c>
      <c r="B78" s="48">
        <v>1.6978499999999999E-3</v>
      </c>
      <c r="C78" s="48">
        <v>1.17021E-2</v>
      </c>
      <c r="D78" s="48">
        <v>0</v>
      </c>
      <c r="E78" s="48">
        <v>18.801015589999999</v>
      </c>
      <c r="F78" s="48">
        <v>0</v>
      </c>
      <c r="G78" s="48">
        <v>18.675120339999999</v>
      </c>
      <c r="H78" s="48">
        <v>1.11743072</v>
      </c>
      <c r="I78" s="48">
        <v>4.4070466900000005</v>
      </c>
      <c r="J78" s="48">
        <v>1.0004249999999999E-2</v>
      </c>
    </row>
    <row r="79" spans="1:10" x14ac:dyDescent="0.25">
      <c r="A79" s="434" t="s">
        <v>136</v>
      </c>
      <c r="B79" s="48">
        <v>4.5601400000000007E-3</v>
      </c>
      <c r="C79" s="48">
        <v>1.134803E-2</v>
      </c>
      <c r="D79" s="48">
        <v>0</v>
      </c>
      <c r="E79" s="48">
        <v>3.50241318</v>
      </c>
      <c r="F79" s="48">
        <v>2.685887E-2</v>
      </c>
      <c r="G79" s="48">
        <v>2.9801906300000001</v>
      </c>
      <c r="H79" s="48">
        <v>0.92202118</v>
      </c>
      <c r="I79" s="48">
        <v>1.17950898</v>
      </c>
      <c r="J79" s="48">
        <v>6.7878900000000004E-3</v>
      </c>
    </row>
    <row r="80" spans="1:10" x14ac:dyDescent="0.25">
      <c r="A80" s="434" t="s">
        <v>151</v>
      </c>
      <c r="B80" s="48">
        <v>0</v>
      </c>
      <c r="C80" s="48">
        <v>1.0751E-2</v>
      </c>
      <c r="D80" s="48">
        <v>0</v>
      </c>
      <c r="E80" s="48">
        <v>45.438612229999997</v>
      </c>
      <c r="F80" s="48">
        <v>0.21740573000000002</v>
      </c>
      <c r="G80" s="48">
        <v>19.034851120000003</v>
      </c>
      <c r="H80" s="48">
        <v>182.34972709000002</v>
      </c>
      <c r="I80" s="48">
        <v>201.59007718999999</v>
      </c>
      <c r="J80" s="48">
        <v>1.0751E-2</v>
      </c>
    </row>
    <row r="81" spans="1:10" x14ac:dyDescent="0.25">
      <c r="A81" s="434" t="s">
        <v>150</v>
      </c>
      <c r="B81" s="48">
        <v>3.7463999999999998E-4</v>
      </c>
      <c r="C81" s="48">
        <v>1.062167E-2</v>
      </c>
      <c r="D81" s="48">
        <v>0</v>
      </c>
      <c r="E81" s="48">
        <v>9.8054245099999999</v>
      </c>
      <c r="F81" s="48">
        <v>4.7900299999999998E-3</v>
      </c>
      <c r="G81" s="48">
        <v>0.91392247999999998</v>
      </c>
      <c r="H81" s="48">
        <v>4.6043662899999998</v>
      </c>
      <c r="I81" s="48">
        <v>5.0475505999999992</v>
      </c>
      <c r="J81" s="48">
        <v>1.0247030000000001E-2</v>
      </c>
    </row>
    <row r="82" spans="1:10" x14ac:dyDescent="0.25">
      <c r="A82" s="434" t="s">
        <v>180</v>
      </c>
      <c r="B82" s="48">
        <v>0</v>
      </c>
      <c r="C82" s="48">
        <v>1.060436E-2</v>
      </c>
      <c r="D82" s="48">
        <v>0.29177931000000001</v>
      </c>
      <c r="E82" s="48">
        <v>54.424897700000194</v>
      </c>
      <c r="F82" s="48">
        <v>0.12746746</v>
      </c>
      <c r="G82" s="48">
        <v>28.539173229999999</v>
      </c>
      <c r="H82" s="48">
        <v>12.786886819999999</v>
      </c>
      <c r="I82" s="48">
        <v>32.149873659999997</v>
      </c>
      <c r="J82" s="48">
        <v>1.060436E-2</v>
      </c>
    </row>
    <row r="83" spans="1:10" x14ac:dyDescent="0.25">
      <c r="A83" s="434" t="s">
        <v>166</v>
      </c>
      <c r="B83" s="48">
        <v>9.884200000000001E-3</v>
      </c>
      <c r="C83" s="48">
        <v>9.884200000000001E-3</v>
      </c>
      <c r="D83" s="48">
        <v>0</v>
      </c>
      <c r="E83" s="48">
        <v>14.819788279999999</v>
      </c>
      <c r="F83" s="48">
        <v>0</v>
      </c>
      <c r="G83" s="48">
        <v>69.205917919999891</v>
      </c>
      <c r="H83" s="48">
        <v>1.04459306</v>
      </c>
      <c r="I83" s="48">
        <v>3.5040122299999998</v>
      </c>
      <c r="J83" s="48">
        <v>0</v>
      </c>
    </row>
    <row r="84" spans="1:10" x14ac:dyDescent="0.25">
      <c r="A84" s="434" t="s">
        <v>167</v>
      </c>
      <c r="B84" s="48">
        <v>0</v>
      </c>
      <c r="C84" s="48">
        <v>9.0523500000000007E-3</v>
      </c>
      <c r="D84" s="48">
        <v>0</v>
      </c>
      <c r="E84" s="48">
        <v>1.2343905100000001</v>
      </c>
      <c r="F84" s="48">
        <v>1.6263450000000002E-2</v>
      </c>
      <c r="G84" s="48">
        <v>15.331492820000001</v>
      </c>
      <c r="H84" s="48">
        <v>5.1261325800000002</v>
      </c>
      <c r="I84" s="48">
        <v>2.0645512300000002</v>
      </c>
      <c r="J84" s="48">
        <v>9.0523500000000007E-3</v>
      </c>
    </row>
    <row r="85" spans="1:10" x14ac:dyDescent="0.25">
      <c r="A85" s="434" t="s">
        <v>171</v>
      </c>
      <c r="B85" s="48">
        <v>0</v>
      </c>
      <c r="C85" s="48">
        <v>7.0411199999999997E-3</v>
      </c>
      <c r="D85" s="48">
        <v>0</v>
      </c>
      <c r="E85" s="48">
        <v>47.310627799999999</v>
      </c>
      <c r="F85" s="48">
        <v>8.5785000000000006E-4</v>
      </c>
      <c r="G85" s="48">
        <v>124.74659713</v>
      </c>
      <c r="H85" s="48">
        <v>6.4204185999999996</v>
      </c>
      <c r="I85" s="48">
        <v>13.52324791</v>
      </c>
      <c r="J85" s="48">
        <v>7.0411199999999997E-3</v>
      </c>
    </row>
    <row r="86" spans="1:10" x14ac:dyDescent="0.25">
      <c r="A86" s="434" t="s">
        <v>207</v>
      </c>
      <c r="B86" s="48">
        <v>6.8670399999999996E-3</v>
      </c>
      <c r="C86" s="48">
        <v>6.8670399999999996E-3</v>
      </c>
      <c r="D86" s="48">
        <v>0</v>
      </c>
      <c r="E86" s="48">
        <v>54.797287669999896</v>
      </c>
      <c r="F86" s="48">
        <v>1.0885549999999999E-2</v>
      </c>
      <c r="G86" s="48">
        <v>0.94387466000000009</v>
      </c>
      <c r="H86" s="48">
        <v>0.81628283999999995</v>
      </c>
      <c r="I86" s="48">
        <v>3.37735692</v>
      </c>
      <c r="J86" s="48">
        <v>0</v>
      </c>
    </row>
    <row r="87" spans="1:10" x14ac:dyDescent="0.25">
      <c r="A87" s="434" t="s">
        <v>163</v>
      </c>
      <c r="B87" s="48">
        <v>0</v>
      </c>
      <c r="C87" s="48">
        <v>6.6380200000000006E-3</v>
      </c>
      <c r="D87" s="48">
        <v>0.10617480999999999</v>
      </c>
      <c r="E87" s="48">
        <v>13.69047078</v>
      </c>
      <c r="F87" s="48">
        <v>4.2061000000000003E-4</v>
      </c>
      <c r="G87" s="48">
        <v>55.385023700000005</v>
      </c>
      <c r="H87" s="48">
        <v>8.9059427400000004</v>
      </c>
      <c r="I87" s="48">
        <v>12.74950209</v>
      </c>
      <c r="J87" s="48">
        <v>0</v>
      </c>
    </row>
    <row r="88" spans="1:10" x14ac:dyDescent="0.25">
      <c r="A88" s="434" t="s">
        <v>5</v>
      </c>
      <c r="B88" s="48">
        <v>0</v>
      </c>
      <c r="C88" s="48">
        <v>6.5122399999999999E-3</v>
      </c>
      <c r="D88" s="48">
        <v>0</v>
      </c>
      <c r="E88" s="48">
        <v>50.174224350000003</v>
      </c>
      <c r="F88" s="48">
        <v>0</v>
      </c>
      <c r="G88" s="48">
        <v>3.24435E-3</v>
      </c>
      <c r="H88" s="48">
        <v>4.66149419</v>
      </c>
      <c r="I88" s="48">
        <v>4.66149419</v>
      </c>
      <c r="J88" s="48">
        <v>6.5122399999999999E-3</v>
      </c>
    </row>
    <row r="89" spans="1:10" x14ac:dyDescent="0.25">
      <c r="A89" s="434" t="s">
        <v>202</v>
      </c>
      <c r="B89" s="48">
        <v>5.8292200000000004E-3</v>
      </c>
      <c r="C89" s="48">
        <v>5.8292200000000004E-3</v>
      </c>
      <c r="D89" s="48">
        <v>1.8328750000000001E-2</v>
      </c>
      <c r="E89" s="48">
        <v>21.03916662</v>
      </c>
      <c r="F89" s="48">
        <v>3.8705545400000001</v>
      </c>
      <c r="G89" s="48">
        <v>7.34542073999999</v>
      </c>
      <c r="H89" s="48">
        <v>29.419437579999997</v>
      </c>
      <c r="I89" s="48">
        <v>51.729495419999999</v>
      </c>
      <c r="J89" s="48">
        <v>0</v>
      </c>
    </row>
    <row r="90" spans="1:10" x14ac:dyDescent="0.25">
      <c r="A90" s="434" t="s">
        <v>177</v>
      </c>
      <c r="B90" s="48">
        <v>4.4903699999999996E-3</v>
      </c>
      <c r="C90" s="48">
        <v>4.4903699999999996E-3</v>
      </c>
      <c r="D90" s="48">
        <v>0</v>
      </c>
      <c r="E90" s="48">
        <v>8.7595205600000003</v>
      </c>
      <c r="F90" s="48">
        <v>0</v>
      </c>
      <c r="G90" s="48">
        <v>62.03182408</v>
      </c>
      <c r="H90" s="48">
        <v>0.36397029999999997</v>
      </c>
      <c r="I90" s="48">
        <v>0.75625820999999993</v>
      </c>
      <c r="J90" s="48">
        <v>0</v>
      </c>
    </row>
    <row r="91" spans="1:10" x14ac:dyDescent="0.25">
      <c r="A91" s="434" t="s">
        <v>80</v>
      </c>
      <c r="B91" s="48">
        <v>0</v>
      </c>
      <c r="C91" s="48">
        <v>4.3868299999999995E-3</v>
      </c>
      <c r="D91" s="48">
        <v>0.92952458999999998</v>
      </c>
      <c r="E91" s="48">
        <v>83.961459120000001</v>
      </c>
      <c r="F91" s="48">
        <v>0.35496846000000004</v>
      </c>
      <c r="G91" s="48">
        <v>23.768579850000002</v>
      </c>
      <c r="H91" s="48">
        <v>12.630108720000001</v>
      </c>
      <c r="I91" s="48">
        <v>14.696366680000001</v>
      </c>
      <c r="J91" s="48">
        <v>4.3868299999999995E-3</v>
      </c>
    </row>
    <row r="92" spans="1:10" x14ac:dyDescent="0.25">
      <c r="A92" s="434" t="s">
        <v>162</v>
      </c>
      <c r="B92" s="48">
        <v>0</v>
      </c>
      <c r="C92" s="48">
        <v>4.1891400000000001E-3</v>
      </c>
      <c r="D92" s="48">
        <v>1.088313E-2</v>
      </c>
      <c r="E92" s="48">
        <v>27.406689449999998</v>
      </c>
      <c r="F92" s="48">
        <v>0.13816522000000001</v>
      </c>
      <c r="G92" s="48">
        <v>8.5946007200000007</v>
      </c>
      <c r="H92" s="48">
        <v>9.2140788499999999</v>
      </c>
      <c r="I92" s="48">
        <v>14.919670029999999</v>
      </c>
      <c r="J92" s="48">
        <v>4.1891400000000001E-3</v>
      </c>
    </row>
    <row r="93" spans="1:10" x14ac:dyDescent="0.25">
      <c r="A93" s="434" t="s">
        <v>118</v>
      </c>
      <c r="B93" s="48">
        <v>3.8060000000000004E-4</v>
      </c>
      <c r="C93" s="48">
        <v>3.2826299999999999E-3</v>
      </c>
      <c r="D93" s="48">
        <v>7.8673000000000002E-4</v>
      </c>
      <c r="E93" s="48">
        <v>14.006976460000001</v>
      </c>
      <c r="F93" s="48">
        <v>6.1257500000000001E-3</v>
      </c>
      <c r="G93" s="48">
        <v>2.6128542100000001</v>
      </c>
      <c r="H93" s="48">
        <v>0.91045823999999997</v>
      </c>
      <c r="I93" s="48">
        <v>1.5104012199999999</v>
      </c>
      <c r="J93" s="48">
        <v>2.9020300000000003E-3</v>
      </c>
    </row>
    <row r="94" spans="1:10" x14ac:dyDescent="0.25">
      <c r="A94" s="434" t="s">
        <v>115</v>
      </c>
      <c r="B94" s="48">
        <v>0</v>
      </c>
      <c r="C94" s="48">
        <v>3.0660399999999999E-3</v>
      </c>
      <c r="D94" s="48">
        <v>1.98E-5</v>
      </c>
      <c r="E94" s="48">
        <v>16.071277330000001</v>
      </c>
      <c r="F94" s="48">
        <v>0</v>
      </c>
      <c r="G94" s="48">
        <v>0.57829198999999998</v>
      </c>
      <c r="H94" s="48">
        <v>0.41461866999999997</v>
      </c>
      <c r="I94" s="48">
        <v>0.47596631</v>
      </c>
      <c r="J94" s="48">
        <v>0.20410792000000003</v>
      </c>
    </row>
    <row r="95" spans="1:10" x14ac:dyDescent="0.25">
      <c r="A95" s="434" t="s">
        <v>112</v>
      </c>
      <c r="B95" s="48">
        <v>2.8908800000000002E-3</v>
      </c>
      <c r="C95" s="48">
        <v>2.8908800000000002E-3</v>
      </c>
      <c r="D95" s="48">
        <v>2.88186E-3</v>
      </c>
      <c r="E95" s="48">
        <v>15.812856500000001</v>
      </c>
      <c r="F95" s="48">
        <v>1.153215E-2</v>
      </c>
      <c r="G95" s="48">
        <v>3.8313805299999997</v>
      </c>
      <c r="H95" s="48">
        <v>2.2979904700000002</v>
      </c>
      <c r="I95" s="48">
        <v>2.9478329100000003</v>
      </c>
      <c r="J95" s="48">
        <v>0</v>
      </c>
    </row>
    <row r="96" spans="1:10" x14ac:dyDescent="0.25">
      <c r="A96" s="434" t="s">
        <v>108</v>
      </c>
      <c r="B96" s="48">
        <v>0</v>
      </c>
      <c r="C96" s="48">
        <v>2.3948400000000001E-3</v>
      </c>
      <c r="D96" s="48">
        <v>0</v>
      </c>
      <c r="E96" s="48">
        <v>1.6572095600000001</v>
      </c>
      <c r="F96" s="48">
        <v>0</v>
      </c>
      <c r="G96" s="48">
        <v>0.35900187</v>
      </c>
      <c r="H96" s="48">
        <v>0</v>
      </c>
      <c r="I96" s="48">
        <v>1.207951E-2</v>
      </c>
      <c r="J96" s="48">
        <v>7.6007399999999999E-3</v>
      </c>
    </row>
    <row r="97" spans="1:10" x14ac:dyDescent="0.25">
      <c r="A97" s="434" t="s">
        <v>120</v>
      </c>
      <c r="B97" s="48">
        <v>0</v>
      </c>
      <c r="C97" s="48">
        <v>1.94908E-3</v>
      </c>
      <c r="D97" s="48">
        <v>0</v>
      </c>
      <c r="E97" s="48">
        <v>2.6552122400000004</v>
      </c>
      <c r="F97" s="48">
        <v>0</v>
      </c>
      <c r="G97" s="48">
        <v>3.6682726200000002</v>
      </c>
      <c r="H97" s="48">
        <v>0.52686613999999998</v>
      </c>
      <c r="I97" s="48">
        <v>0.57684073000000002</v>
      </c>
      <c r="J97" s="48">
        <v>1.94908E-3</v>
      </c>
    </row>
    <row r="98" spans="1:10" x14ac:dyDescent="0.25">
      <c r="A98" s="434" t="s">
        <v>117</v>
      </c>
      <c r="B98" s="48">
        <v>0</v>
      </c>
      <c r="C98" s="48">
        <v>1.55211E-3</v>
      </c>
      <c r="D98" s="48">
        <v>2.2244630000000001E-2</v>
      </c>
      <c r="E98" s="48">
        <v>18.360083890000002</v>
      </c>
      <c r="F98" s="48">
        <v>1.4674620000000001E-2</v>
      </c>
      <c r="G98" s="48">
        <v>5.5175797400000004</v>
      </c>
      <c r="H98" s="48">
        <v>2.3436694199999999</v>
      </c>
      <c r="I98" s="48">
        <v>2.8581249500000001</v>
      </c>
      <c r="J98" s="48">
        <v>1.31259218</v>
      </c>
    </row>
    <row r="99" spans="1:10" x14ac:dyDescent="0.25">
      <c r="A99" s="434" t="s">
        <v>127</v>
      </c>
      <c r="B99" s="48">
        <v>0</v>
      </c>
      <c r="C99" s="48">
        <v>1.4911900000000001E-3</v>
      </c>
      <c r="D99" s="48">
        <v>3.7851999999999997E-4</v>
      </c>
      <c r="E99" s="48">
        <v>47.608158529999898</v>
      </c>
      <c r="F99" s="48">
        <v>4.589294E-2</v>
      </c>
      <c r="G99" s="48">
        <v>23.787149339999999</v>
      </c>
      <c r="H99" s="48">
        <v>2.1446638</v>
      </c>
      <c r="I99" s="48">
        <v>4.5630032699999994</v>
      </c>
      <c r="J99" s="48">
        <v>1.4911900000000001E-3</v>
      </c>
    </row>
    <row r="100" spans="1:10" x14ac:dyDescent="0.25">
      <c r="A100" s="434" t="s">
        <v>135</v>
      </c>
      <c r="B100" s="48">
        <v>0</v>
      </c>
      <c r="C100" s="48">
        <v>1.28147E-3</v>
      </c>
      <c r="D100" s="48">
        <v>0</v>
      </c>
      <c r="E100" s="48">
        <v>23.30981478</v>
      </c>
      <c r="F100" s="48">
        <v>0.71822154000000005</v>
      </c>
      <c r="G100" s="48">
        <v>14.78317975</v>
      </c>
      <c r="H100" s="48">
        <v>4.4482037999999999</v>
      </c>
      <c r="I100" s="48">
        <v>9.2931078399999993</v>
      </c>
      <c r="J100" s="48">
        <v>1.28147E-3</v>
      </c>
    </row>
    <row r="101" spans="1:10" x14ac:dyDescent="0.25">
      <c r="A101" s="434" t="s">
        <v>100</v>
      </c>
      <c r="B101" s="48">
        <v>1.27866E-3</v>
      </c>
      <c r="C101" s="48">
        <v>1.27866E-3</v>
      </c>
      <c r="D101" s="48">
        <v>2.550413E-2</v>
      </c>
      <c r="E101" s="48">
        <v>13.696541380000001</v>
      </c>
      <c r="F101" s="48">
        <v>0</v>
      </c>
      <c r="G101" s="48">
        <v>0.66786067000000005</v>
      </c>
      <c r="H101" s="48">
        <v>1.55767458</v>
      </c>
      <c r="I101" s="48">
        <v>3.9956729700000002</v>
      </c>
      <c r="J101" s="48">
        <v>0</v>
      </c>
    </row>
    <row r="102" spans="1:10" x14ac:dyDescent="0.25">
      <c r="A102" s="434" t="s">
        <v>140</v>
      </c>
      <c r="B102" s="48">
        <v>0</v>
      </c>
      <c r="C102" s="48">
        <v>1.2750000000000001E-3</v>
      </c>
      <c r="D102" s="48">
        <v>0.16072301999999999</v>
      </c>
      <c r="E102" s="48">
        <v>7.5272089600000003</v>
      </c>
      <c r="F102" s="48">
        <v>3.7916999999999998E-3</v>
      </c>
      <c r="G102" s="48">
        <v>7.8990591299999995</v>
      </c>
      <c r="H102" s="48">
        <v>18.11757639</v>
      </c>
      <c r="I102" s="48">
        <v>66.292251300000103</v>
      </c>
      <c r="J102" s="48">
        <v>1.2750000000000001E-3</v>
      </c>
    </row>
    <row r="103" spans="1:10" x14ac:dyDescent="0.25">
      <c r="A103" s="434" t="s">
        <v>90</v>
      </c>
      <c r="B103" s="48">
        <v>0</v>
      </c>
      <c r="C103" s="48">
        <v>1.20348E-3</v>
      </c>
      <c r="D103" s="48">
        <v>1.0646076799999999</v>
      </c>
      <c r="E103" s="48">
        <v>25.19121818</v>
      </c>
      <c r="F103" s="48">
        <v>7.3320570000000002E-2</v>
      </c>
      <c r="G103" s="48">
        <v>3.8217839500000004</v>
      </c>
      <c r="H103" s="48">
        <v>1.9627582800000001</v>
      </c>
      <c r="I103" s="48">
        <v>2.4287926</v>
      </c>
      <c r="J103" s="48">
        <v>1.20348E-3</v>
      </c>
    </row>
    <row r="104" spans="1:10" x14ac:dyDescent="0.25">
      <c r="A104" s="434" t="s">
        <v>89</v>
      </c>
      <c r="B104" s="48">
        <v>0</v>
      </c>
      <c r="C104" s="48">
        <v>1.20006E-3</v>
      </c>
      <c r="D104" s="48">
        <v>0</v>
      </c>
      <c r="E104" s="48">
        <v>40.046281610000001</v>
      </c>
      <c r="F104" s="48">
        <v>0.12424696</v>
      </c>
      <c r="G104" s="48">
        <v>2.1294390399999998</v>
      </c>
      <c r="H104" s="48">
        <v>4.0413030899999995</v>
      </c>
      <c r="I104" s="48">
        <v>5.5415530099999994</v>
      </c>
      <c r="J104" s="48">
        <v>1.20006E-3</v>
      </c>
    </row>
    <row r="105" spans="1:10" x14ac:dyDescent="0.25">
      <c r="A105" s="434" t="s">
        <v>155</v>
      </c>
      <c r="B105" s="48">
        <v>0</v>
      </c>
      <c r="C105" s="48">
        <v>1.1001300000000002E-3</v>
      </c>
      <c r="D105" s="48">
        <v>0</v>
      </c>
      <c r="E105" s="48">
        <v>2.16873257</v>
      </c>
      <c r="F105" s="48">
        <v>0</v>
      </c>
      <c r="G105" s="48">
        <v>1.5667892400000001</v>
      </c>
      <c r="H105" s="48">
        <v>0.3382366</v>
      </c>
      <c r="I105" s="48">
        <v>0.98187175999999998</v>
      </c>
      <c r="J105" s="48">
        <v>1.1001300000000002E-3</v>
      </c>
    </row>
    <row r="106" spans="1:10" x14ac:dyDescent="0.25">
      <c r="A106" s="434" t="s">
        <v>178</v>
      </c>
      <c r="B106" s="48">
        <v>0</v>
      </c>
      <c r="C106" s="48">
        <v>9.7251E-4</v>
      </c>
      <c r="D106" s="48">
        <v>2.247408E-2</v>
      </c>
      <c r="E106" s="48">
        <v>53.117539260000001</v>
      </c>
      <c r="F106" s="48">
        <v>0.11848726</v>
      </c>
      <c r="G106" s="48">
        <v>89.276491519999993</v>
      </c>
      <c r="H106" s="48">
        <v>9.80522268</v>
      </c>
      <c r="I106" s="48">
        <v>17.97830398</v>
      </c>
      <c r="J106" s="48">
        <v>9.7251E-4</v>
      </c>
    </row>
    <row r="107" spans="1:10" x14ac:dyDescent="0.25">
      <c r="A107" s="434" t="s">
        <v>157</v>
      </c>
      <c r="B107" s="48">
        <v>0</v>
      </c>
      <c r="C107" s="48">
        <v>7.2857E-4</v>
      </c>
      <c r="D107" s="48">
        <v>0.22177417000000002</v>
      </c>
      <c r="E107" s="48">
        <v>35.653450469999996</v>
      </c>
      <c r="F107" s="48">
        <v>6.1280949999999994E-2</v>
      </c>
      <c r="G107" s="48">
        <v>14.17388841</v>
      </c>
      <c r="H107" s="48">
        <v>12.318155109999999</v>
      </c>
      <c r="I107" s="48">
        <v>24.30211246</v>
      </c>
      <c r="J107" s="48">
        <v>7.2857E-4</v>
      </c>
    </row>
    <row r="108" spans="1:10" x14ac:dyDescent="0.25">
      <c r="A108" s="434" t="s">
        <v>210</v>
      </c>
      <c r="B108" s="48">
        <v>6.1110000000000005E-4</v>
      </c>
      <c r="C108" s="48">
        <v>6.1110000000000005E-4</v>
      </c>
      <c r="D108" s="48">
        <v>0</v>
      </c>
      <c r="E108" s="48">
        <v>12.283250560000001</v>
      </c>
      <c r="F108" s="48">
        <v>1.059678E-2</v>
      </c>
      <c r="G108" s="48">
        <v>3.5757039900000001</v>
      </c>
      <c r="H108" s="48">
        <v>0.97519124000000001</v>
      </c>
      <c r="I108" s="48">
        <v>2.76094499</v>
      </c>
      <c r="J108" s="48">
        <v>0</v>
      </c>
    </row>
    <row r="109" spans="1:10" x14ac:dyDescent="0.25">
      <c r="A109" s="434" t="s">
        <v>17</v>
      </c>
      <c r="B109" s="48">
        <v>5.3821000000000001E-4</v>
      </c>
      <c r="C109" s="48">
        <v>5.3821000000000001E-4</v>
      </c>
      <c r="D109" s="48">
        <v>0</v>
      </c>
      <c r="E109" s="48">
        <v>44.151379259999999</v>
      </c>
      <c r="F109" s="48">
        <v>0</v>
      </c>
      <c r="G109" s="48">
        <v>0.51021771000000005</v>
      </c>
      <c r="H109" s="48">
        <v>0.89448766000000002</v>
      </c>
      <c r="I109" s="48">
        <v>0.93350702999999902</v>
      </c>
      <c r="J109" s="48">
        <v>0</v>
      </c>
    </row>
    <row r="110" spans="1:10" x14ac:dyDescent="0.25">
      <c r="A110" s="434" t="s">
        <v>978</v>
      </c>
      <c r="B110" s="48">
        <v>0</v>
      </c>
      <c r="C110" s="48">
        <v>4.8624999999999997E-4</v>
      </c>
      <c r="D110" s="48">
        <v>0</v>
      </c>
      <c r="E110" s="48">
        <v>5.1631323</v>
      </c>
      <c r="F110" s="48">
        <v>1.206458E-2</v>
      </c>
      <c r="G110" s="48">
        <v>1.24071683</v>
      </c>
      <c r="H110" s="48">
        <v>2.9722946100000001</v>
      </c>
      <c r="I110" s="48">
        <v>3.0694128100000002</v>
      </c>
      <c r="J110" s="48">
        <v>0.46539955999999999</v>
      </c>
    </row>
    <row r="111" spans="1:10" x14ac:dyDescent="0.25">
      <c r="A111" s="434" t="s">
        <v>88</v>
      </c>
      <c r="B111" s="48">
        <v>0</v>
      </c>
      <c r="C111" s="48">
        <v>3.0764999999999997E-4</v>
      </c>
      <c r="D111" s="48">
        <v>9.2929999999999999E-2</v>
      </c>
      <c r="E111" s="48">
        <v>8.7607113900000009</v>
      </c>
      <c r="F111" s="48">
        <v>8.4000000000000003E-4</v>
      </c>
      <c r="G111" s="48">
        <v>10.10862244</v>
      </c>
      <c r="H111" s="48">
        <v>2.94701097</v>
      </c>
      <c r="I111" s="48">
        <v>4.1412707400000004</v>
      </c>
      <c r="J111" s="48">
        <v>0</v>
      </c>
    </row>
    <row r="112" spans="1:10" x14ac:dyDescent="0.25">
      <c r="A112" s="434" t="s">
        <v>134</v>
      </c>
      <c r="B112" s="48">
        <v>0</v>
      </c>
      <c r="C112" s="48">
        <v>2.4211000000000002E-4</v>
      </c>
      <c r="D112" s="48">
        <v>1.6235099999999999E-2</v>
      </c>
      <c r="E112" s="48">
        <v>24.422863600000003</v>
      </c>
      <c r="F112" s="48">
        <v>5.8448150000000004E-2</v>
      </c>
      <c r="G112" s="48">
        <v>7.4075648899999997</v>
      </c>
      <c r="H112" s="48">
        <v>4.4274104599999999</v>
      </c>
      <c r="I112" s="48">
        <v>8.8017746999999993</v>
      </c>
      <c r="J112" s="48">
        <v>2.4211000000000002E-4</v>
      </c>
    </row>
    <row r="113" spans="1:10" x14ac:dyDescent="0.25">
      <c r="A113" s="434" t="s">
        <v>25</v>
      </c>
      <c r="B113" s="48">
        <v>1.5513999999999998E-4</v>
      </c>
      <c r="C113" s="48">
        <v>1.5513999999999998E-4</v>
      </c>
      <c r="D113" s="48">
        <v>0</v>
      </c>
      <c r="E113" s="48">
        <v>8.45830593999999</v>
      </c>
      <c r="F113" s="48">
        <v>0</v>
      </c>
      <c r="G113" s="48">
        <v>6.7989090000000002E-2</v>
      </c>
      <c r="H113" s="48">
        <v>0.50532555000000001</v>
      </c>
      <c r="I113" s="48">
        <v>0.53612682999999994</v>
      </c>
      <c r="J113" s="48">
        <v>0</v>
      </c>
    </row>
    <row r="114" spans="1:10" x14ac:dyDescent="0.25">
      <c r="A114" s="434" t="s">
        <v>67</v>
      </c>
      <c r="B114" s="48">
        <v>1.2411E-4</v>
      </c>
      <c r="C114" s="48">
        <v>1.2411E-4</v>
      </c>
      <c r="D114" s="48">
        <v>0</v>
      </c>
      <c r="E114" s="48">
        <v>8.7673288700000001</v>
      </c>
      <c r="F114" s="48">
        <v>0</v>
      </c>
      <c r="G114" s="48">
        <v>5.3759000000000001E-4</v>
      </c>
      <c r="H114" s="48">
        <v>0</v>
      </c>
      <c r="I114" s="48">
        <v>2.9365300000000001E-3</v>
      </c>
      <c r="J114" s="48">
        <v>3.3683899999999998E-3</v>
      </c>
    </row>
    <row r="115" spans="1:10" x14ac:dyDescent="0.25">
      <c r="A115" s="434" t="s">
        <v>62</v>
      </c>
      <c r="B115" s="48">
        <v>0</v>
      </c>
      <c r="C115" s="48">
        <v>0</v>
      </c>
      <c r="D115" s="48">
        <v>0</v>
      </c>
      <c r="E115" s="48">
        <v>68.967056650000089</v>
      </c>
      <c r="F115" s="48">
        <v>10.17303021</v>
      </c>
      <c r="G115" s="48">
        <v>360.40868648000003</v>
      </c>
      <c r="H115" s="48">
        <v>883.75516227999992</v>
      </c>
      <c r="I115" s="48">
        <v>896.88455013999999</v>
      </c>
      <c r="J115" s="48">
        <v>7.8767999999999991E-4</v>
      </c>
    </row>
    <row r="116" spans="1:10" x14ac:dyDescent="0.25">
      <c r="A116" s="434" t="s">
        <v>179</v>
      </c>
      <c r="B116" s="48">
        <v>0</v>
      </c>
      <c r="C116" s="48">
        <v>0</v>
      </c>
      <c r="D116" s="48">
        <v>0</v>
      </c>
      <c r="E116" s="48">
        <v>336.45274610000001</v>
      </c>
      <c r="F116" s="48">
        <v>0</v>
      </c>
      <c r="G116" s="48">
        <v>122.60787716999999</v>
      </c>
      <c r="H116" s="48">
        <v>23.357036579999999</v>
      </c>
      <c r="I116" s="48">
        <v>71.509122700000006</v>
      </c>
      <c r="J116" s="48">
        <v>0</v>
      </c>
    </row>
    <row r="117" spans="1:10" x14ac:dyDescent="0.25">
      <c r="A117" s="434" t="s">
        <v>8</v>
      </c>
      <c r="B117" s="48">
        <v>0</v>
      </c>
      <c r="C117" s="48">
        <v>0</v>
      </c>
      <c r="D117" s="48">
        <v>0</v>
      </c>
      <c r="E117" s="48">
        <v>13.53292177</v>
      </c>
      <c r="F117" s="48">
        <v>0.21277451999999999</v>
      </c>
      <c r="G117" s="48">
        <v>0</v>
      </c>
      <c r="H117" s="48">
        <v>18.657140510000001</v>
      </c>
      <c r="I117" s="48">
        <v>18.869915030000001</v>
      </c>
      <c r="J117" s="48">
        <v>0</v>
      </c>
    </row>
    <row r="118" spans="1:10" x14ac:dyDescent="0.25">
      <c r="A118" s="434" t="s">
        <v>101</v>
      </c>
      <c r="B118" s="48">
        <v>0</v>
      </c>
      <c r="C118" s="48">
        <v>0</v>
      </c>
      <c r="D118" s="48">
        <v>0.36080810999999996</v>
      </c>
      <c r="E118" s="48">
        <v>22.236211010000002</v>
      </c>
      <c r="F118" s="48">
        <v>0</v>
      </c>
      <c r="G118" s="48">
        <v>28.795336239999997</v>
      </c>
      <c r="H118" s="48">
        <v>16.731345080000001</v>
      </c>
      <c r="I118" s="48">
        <v>157.67968175999999</v>
      </c>
      <c r="J118" s="48">
        <v>0</v>
      </c>
    </row>
    <row r="119" spans="1:10" x14ac:dyDescent="0.25">
      <c r="A119" s="434" t="s">
        <v>142</v>
      </c>
      <c r="B119" s="48">
        <v>0</v>
      </c>
      <c r="C119" s="48">
        <v>0</v>
      </c>
      <c r="D119" s="48">
        <v>0.98722605000000008</v>
      </c>
      <c r="E119" s="48">
        <v>13.68023797</v>
      </c>
      <c r="F119" s="48">
        <v>8.0902600000000002E-3</v>
      </c>
      <c r="G119" s="48">
        <v>23.223472829999999</v>
      </c>
      <c r="H119" s="48">
        <v>13.0345377</v>
      </c>
      <c r="I119" s="48">
        <v>13.27055249</v>
      </c>
      <c r="J119" s="48">
        <v>0</v>
      </c>
    </row>
    <row r="120" spans="1:10" x14ac:dyDescent="0.25">
      <c r="A120" s="434" t="s">
        <v>102</v>
      </c>
      <c r="B120" s="48">
        <v>0</v>
      </c>
      <c r="C120" s="48">
        <v>0</v>
      </c>
      <c r="D120" s="48">
        <v>6.522551E-2</v>
      </c>
      <c r="E120" s="48">
        <v>14.750215880000001</v>
      </c>
      <c r="F120" s="48">
        <v>7.224789999999999E-2</v>
      </c>
      <c r="G120" s="48">
        <v>3.9854853700000001</v>
      </c>
      <c r="H120" s="48">
        <v>12.51332</v>
      </c>
      <c r="I120" s="48">
        <v>16.908154010000001</v>
      </c>
      <c r="J120" s="48">
        <v>0</v>
      </c>
    </row>
    <row r="121" spans="1:10" x14ac:dyDescent="0.25">
      <c r="A121" s="434" t="s">
        <v>159</v>
      </c>
      <c r="B121" s="48">
        <v>0</v>
      </c>
      <c r="C121" s="48">
        <v>0</v>
      </c>
      <c r="D121" s="48">
        <v>7.3486999999999999E-4</v>
      </c>
      <c r="E121" s="48">
        <v>21.766392309999997</v>
      </c>
      <c r="F121" s="48">
        <v>2.923452E-2</v>
      </c>
      <c r="G121" s="48">
        <v>37.062653079999997</v>
      </c>
      <c r="H121" s="48">
        <v>6.0724313299999997</v>
      </c>
      <c r="I121" s="48">
        <v>9.82045572</v>
      </c>
      <c r="J121" s="48">
        <v>0</v>
      </c>
    </row>
    <row r="122" spans="1:10" x14ac:dyDescent="0.25">
      <c r="A122" s="434" t="s">
        <v>164</v>
      </c>
      <c r="B122" s="48">
        <v>0</v>
      </c>
      <c r="C122" s="48">
        <v>0</v>
      </c>
      <c r="D122" s="48">
        <v>4.7707000000000001E-3</v>
      </c>
      <c r="E122" s="48">
        <v>2.3190528800000001</v>
      </c>
      <c r="F122" s="48">
        <v>8.7130899999999997E-2</v>
      </c>
      <c r="G122" s="48">
        <v>1.9100029299999999</v>
      </c>
      <c r="H122" s="48">
        <v>5.2150232599999997</v>
      </c>
      <c r="I122" s="48">
        <v>7.3680354800000005</v>
      </c>
      <c r="J122" s="48">
        <v>0</v>
      </c>
    </row>
    <row r="123" spans="1:10" x14ac:dyDescent="0.25">
      <c r="A123" s="434" t="s">
        <v>184</v>
      </c>
      <c r="B123" s="48">
        <v>0</v>
      </c>
      <c r="C123" s="48">
        <v>0</v>
      </c>
      <c r="D123" s="48">
        <v>0</v>
      </c>
      <c r="E123" s="48">
        <v>1.3063423600000001</v>
      </c>
      <c r="F123" s="48">
        <v>0.15331989000000001</v>
      </c>
      <c r="G123" s="48">
        <v>1.1902031100000001</v>
      </c>
      <c r="H123" s="48">
        <v>5.2095106200000005</v>
      </c>
      <c r="I123" s="48">
        <v>10.4076918</v>
      </c>
      <c r="J123" s="48">
        <v>0</v>
      </c>
    </row>
    <row r="124" spans="1:10" x14ac:dyDescent="0.25">
      <c r="A124" s="434" t="s">
        <v>353</v>
      </c>
      <c r="B124" s="48">
        <v>0</v>
      </c>
      <c r="C124" s="48">
        <v>0</v>
      </c>
      <c r="D124" s="48">
        <v>0</v>
      </c>
      <c r="E124" s="48">
        <v>34.146189999999997</v>
      </c>
      <c r="F124" s="48">
        <v>0</v>
      </c>
      <c r="G124" s="48">
        <v>1.01304E-3</v>
      </c>
      <c r="H124" s="48">
        <v>4.7070240599999993</v>
      </c>
      <c r="I124" s="48">
        <v>4.7070240599999993</v>
      </c>
      <c r="J124" s="48">
        <v>0</v>
      </c>
    </row>
    <row r="125" spans="1:10" x14ac:dyDescent="0.25">
      <c r="A125" s="434" t="s">
        <v>123</v>
      </c>
      <c r="B125" s="48">
        <v>0</v>
      </c>
      <c r="C125" s="48">
        <v>0</v>
      </c>
      <c r="D125" s="48">
        <v>0</v>
      </c>
      <c r="E125" s="48">
        <v>19.279014920000002</v>
      </c>
      <c r="F125" s="48">
        <v>0</v>
      </c>
      <c r="G125" s="48">
        <v>2.5173271100000001</v>
      </c>
      <c r="H125" s="48">
        <v>4.6202563099999994</v>
      </c>
      <c r="I125" s="48">
        <v>4.8104038300000003</v>
      </c>
      <c r="J125" s="48">
        <v>0</v>
      </c>
    </row>
    <row r="126" spans="1:10" x14ac:dyDescent="0.25">
      <c r="A126" s="434" t="s">
        <v>79</v>
      </c>
      <c r="B126" s="48">
        <v>0</v>
      </c>
      <c r="C126" s="48">
        <v>0</v>
      </c>
      <c r="D126" s="48">
        <v>1.2862500000000001E-3</v>
      </c>
      <c r="E126" s="48">
        <v>39.09028756</v>
      </c>
      <c r="F126" s="48">
        <v>1.919421E-2</v>
      </c>
      <c r="G126" s="48">
        <v>0.82469154999999905</v>
      </c>
      <c r="H126" s="48">
        <v>4.0963213500000002</v>
      </c>
      <c r="I126" s="48">
        <v>6.3092071299999999</v>
      </c>
      <c r="J126" s="48">
        <v>0</v>
      </c>
    </row>
    <row r="127" spans="1:10" x14ac:dyDescent="0.25">
      <c r="A127" s="434" t="s">
        <v>95</v>
      </c>
      <c r="B127" s="48">
        <v>0</v>
      </c>
      <c r="C127" s="48">
        <v>0</v>
      </c>
      <c r="D127" s="48">
        <v>0</v>
      </c>
      <c r="E127" s="48">
        <v>10.5702564</v>
      </c>
      <c r="F127" s="48">
        <v>5.4530699999999994E-2</v>
      </c>
      <c r="G127" s="48">
        <v>0.84473229999999999</v>
      </c>
      <c r="H127" s="48">
        <v>4.0598870600000003</v>
      </c>
      <c r="I127" s="48">
        <v>4.4969988700000005</v>
      </c>
      <c r="J127" s="48">
        <v>0</v>
      </c>
    </row>
    <row r="128" spans="1:10" x14ac:dyDescent="0.25">
      <c r="A128" s="434" t="s">
        <v>143</v>
      </c>
      <c r="B128" s="48">
        <v>0</v>
      </c>
      <c r="C128" s="48">
        <v>0</v>
      </c>
      <c r="D128" s="48">
        <v>1.773922E-2</v>
      </c>
      <c r="E128" s="48">
        <v>0.89742440000000001</v>
      </c>
      <c r="F128" s="48">
        <v>0</v>
      </c>
      <c r="G128" s="48">
        <v>1.0997373500000001</v>
      </c>
      <c r="H128" s="48">
        <v>3.93772894</v>
      </c>
      <c r="I128" s="48">
        <v>4.5383956100000002</v>
      </c>
      <c r="J128" s="48">
        <v>0</v>
      </c>
    </row>
    <row r="129" spans="1:10" x14ac:dyDescent="0.25">
      <c r="A129" s="434" t="s">
        <v>182</v>
      </c>
      <c r="B129" s="48">
        <v>0</v>
      </c>
      <c r="C129" s="48">
        <v>0</v>
      </c>
      <c r="D129" s="48">
        <v>0</v>
      </c>
      <c r="E129" s="48">
        <v>44.063161469999997</v>
      </c>
      <c r="F129" s="48">
        <v>1.3959620000000001E-2</v>
      </c>
      <c r="G129" s="48">
        <v>5.0736986500000008</v>
      </c>
      <c r="H129" s="48">
        <v>3.8940371800000002</v>
      </c>
      <c r="I129" s="48">
        <v>4.1398790500000002</v>
      </c>
      <c r="J129" s="48">
        <v>6.6717509999999994E-2</v>
      </c>
    </row>
    <row r="130" spans="1:10" x14ac:dyDescent="0.25">
      <c r="A130" s="434" t="s">
        <v>57</v>
      </c>
      <c r="B130" s="48">
        <v>0</v>
      </c>
      <c r="C130" s="48">
        <v>0</v>
      </c>
      <c r="D130" s="48">
        <v>0</v>
      </c>
      <c r="E130" s="48">
        <v>2.26162427</v>
      </c>
      <c r="F130" s="48">
        <v>0</v>
      </c>
      <c r="G130" s="48">
        <v>5.0768634700000002</v>
      </c>
      <c r="H130" s="48">
        <v>3.5278233399999999</v>
      </c>
      <c r="I130" s="48">
        <v>3.7628233399999997</v>
      </c>
      <c r="J130" s="48">
        <v>8.1877999999999996E-4</v>
      </c>
    </row>
    <row r="131" spans="1:10" x14ac:dyDescent="0.25">
      <c r="A131" s="434" t="s">
        <v>172</v>
      </c>
      <c r="B131" s="48">
        <v>0</v>
      </c>
      <c r="C131" s="48">
        <v>0</v>
      </c>
      <c r="D131" s="48">
        <v>0.76999275</v>
      </c>
      <c r="E131" s="48">
        <v>32.828266880000001</v>
      </c>
      <c r="F131" s="48">
        <v>3.6079800000000002E-3</v>
      </c>
      <c r="G131" s="48">
        <v>67.574473999999995</v>
      </c>
      <c r="H131" s="48">
        <v>3.11705034</v>
      </c>
      <c r="I131" s="48">
        <v>5.2513393399999995</v>
      </c>
      <c r="J131" s="48">
        <v>0</v>
      </c>
    </row>
    <row r="132" spans="1:10" x14ac:dyDescent="0.25">
      <c r="A132" s="434" t="s">
        <v>206</v>
      </c>
      <c r="B132" s="48">
        <v>0</v>
      </c>
      <c r="C132" s="48">
        <v>0</v>
      </c>
      <c r="D132" s="48">
        <v>0</v>
      </c>
      <c r="E132" s="48">
        <v>1.05499476</v>
      </c>
      <c r="F132" s="48">
        <v>0</v>
      </c>
      <c r="G132" s="48">
        <v>0.59060665000000001</v>
      </c>
      <c r="H132" s="48">
        <v>3.0877211899999999</v>
      </c>
      <c r="I132" s="48">
        <v>4.9264707400000001</v>
      </c>
      <c r="J132" s="48">
        <v>0</v>
      </c>
    </row>
    <row r="133" spans="1:10" x14ac:dyDescent="0.25">
      <c r="A133" s="434" t="s">
        <v>66</v>
      </c>
      <c r="B133" s="48">
        <v>0</v>
      </c>
      <c r="C133" s="48">
        <v>0</v>
      </c>
      <c r="D133" s="48">
        <v>0</v>
      </c>
      <c r="E133" s="48">
        <v>83.793481480000096</v>
      </c>
      <c r="F133" s="48">
        <v>0</v>
      </c>
      <c r="G133" s="48">
        <v>5.2576999999999997E-3</v>
      </c>
      <c r="H133" s="48">
        <v>2.7857592100000002</v>
      </c>
      <c r="I133" s="48">
        <v>2.7857592100000002</v>
      </c>
      <c r="J133" s="48">
        <v>0</v>
      </c>
    </row>
    <row r="134" spans="1:10" x14ac:dyDescent="0.25">
      <c r="A134" s="434" t="s">
        <v>131</v>
      </c>
      <c r="B134" s="48">
        <v>0</v>
      </c>
      <c r="C134" s="48">
        <v>0</v>
      </c>
      <c r="D134" s="48">
        <v>0</v>
      </c>
      <c r="E134" s="48">
        <v>48.755652189999999</v>
      </c>
      <c r="F134" s="48">
        <v>7.8770999999999994E-2</v>
      </c>
      <c r="G134" s="48">
        <v>16.93657254</v>
      </c>
      <c r="H134" s="48">
        <v>2.5542569100000003</v>
      </c>
      <c r="I134" s="48">
        <v>3.8520349900000004</v>
      </c>
      <c r="J134" s="48">
        <v>0</v>
      </c>
    </row>
    <row r="135" spans="1:10" x14ac:dyDescent="0.25">
      <c r="A135" s="434" t="s">
        <v>10</v>
      </c>
      <c r="B135" s="48">
        <v>0</v>
      </c>
      <c r="C135" s="48">
        <v>0</v>
      </c>
      <c r="D135" s="48">
        <v>0</v>
      </c>
      <c r="E135" s="48">
        <v>1.6173450700000001</v>
      </c>
      <c r="F135" s="48">
        <v>0</v>
      </c>
      <c r="G135" s="48">
        <v>1.9355279999999999E-2</v>
      </c>
      <c r="H135" s="48">
        <v>1.9379720900000001</v>
      </c>
      <c r="I135" s="48">
        <v>1.9379720900000001</v>
      </c>
      <c r="J135" s="48">
        <v>0</v>
      </c>
    </row>
    <row r="136" spans="1:10" x14ac:dyDescent="0.25">
      <c r="A136" s="434" t="s">
        <v>145</v>
      </c>
      <c r="B136" s="48">
        <v>0</v>
      </c>
      <c r="C136" s="48">
        <v>0</v>
      </c>
      <c r="D136" s="48">
        <v>0</v>
      </c>
      <c r="E136" s="48">
        <v>107.68481718000001</v>
      </c>
      <c r="F136" s="48">
        <v>0</v>
      </c>
      <c r="G136" s="48">
        <v>17.618019269999998</v>
      </c>
      <c r="H136" s="48">
        <v>1.6826033</v>
      </c>
      <c r="I136" s="48">
        <v>2.9385592699999998</v>
      </c>
      <c r="J136" s="48">
        <v>0</v>
      </c>
    </row>
    <row r="137" spans="1:10" x14ac:dyDescent="0.25">
      <c r="A137" s="434" t="s">
        <v>181</v>
      </c>
      <c r="B137" s="48">
        <v>0</v>
      </c>
      <c r="C137" s="48">
        <v>0</v>
      </c>
      <c r="D137" s="48">
        <v>0</v>
      </c>
      <c r="E137" s="48">
        <v>7.16545963</v>
      </c>
      <c r="F137" s="48">
        <v>3.9907150000000002E-2</v>
      </c>
      <c r="G137" s="48">
        <v>5.6818372500000001</v>
      </c>
      <c r="H137" s="48">
        <v>1.61506124</v>
      </c>
      <c r="I137" s="48">
        <v>2.4603104099999999</v>
      </c>
      <c r="J137" s="48">
        <v>0</v>
      </c>
    </row>
    <row r="138" spans="1:10" x14ac:dyDescent="0.25">
      <c r="A138" s="434" t="s">
        <v>175</v>
      </c>
      <c r="B138" s="48">
        <v>0</v>
      </c>
      <c r="C138" s="48">
        <v>0</v>
      </c>
      <c r="D138" s="48">
        <v>0</v>
      </c>
      <c r="E138" s="48">
        <v>2.1936961400000001</v>
      </c>
      <c r="F138" s="48">
        <v>0.16583710000000002</v>
      </c>
      <c r="G138" s="48">
        <v>7.5482982699999992</v>
      </c>
      <c r="H138" s="48">
        <v>1.5559580399999999</v>
      </c>
      <c r="I138" s="48">
        <v>2.4504567900000001</v>
      </c>
      <c r="J138" s="48">
        <v>0</v>
      </c>
    </row>
    <row r="139" spans="1:10" x14ac:dyDescent="0.25">
      <c r="A139" s="434" t="s">
        <v>86</v>
      </c>
      <c r="B139" s="48">
        <v>0</v>
      </c>
      <c r="C139" s="48">
        <v>0</v>
      </c>
      <c r="D139" s="48">
        <v>0</v>
      </c>
      <c r="E139" s="48">
        <v>12.01681065</v>
      </c>
      <c r="F139" s="48">
        <v>0</v>
      </c>
      <c r="G139" s="48">
        <v>1.65273114</v>
      </c>
      <c r="H139" s="48">
        <v>1.4477354599999999</v>
      </c>
      <c r="I139" s="48">
        <v>18.63834516</v>
      </c>
      <c r="J139" s="48">
        <v>0</v>
      </c>
    </row>
    <row r="140" spans="1:10" x14ac:dyDescent="0.25">
      <c r="A140" s="434" t="s">
        <v>76</v>
      </c>
      <c r="B140" s="48">
        <v>0</v>
      </c>
      <c r="C140" s="48">
        <v>0</v>
      </c>
      <c r="D140" s="48">
        <v>0</v>
      </c>
      <c r="E140" s="48">
        <v>45.83139568</v>
      </c>
      <c r="F140" s="48">
        <v>0</v>
      </c>
      <c r="G140" s="48">
        <v>0.49035029999999996</v>
      </c>
      <c r="H140" s="48">
        <v>1.2756682800000001</v>
      </c>
      <c r="I140" s="48">
        <v>2.18999407</v>
      </c>
      <c r="J140" s="48">
        <v>0</v>
      </c>
    </row>
    <row r="141" spans="1:10" x14ac:dyDescent="0.25">
      <c r="A141" s="434" t="s">
        <v>6</v>
      </c>
      <c r="B141" s="48">
        <v>0</v>
      </c>
      <c r="C141" s="48">
        <v>0</v>
      </c>
      <c r="D141" s="48">
        <v>0</v>
      </c>
      <c r="E141" s="48">
        <v>7.2121470800000003</v>
      </c>
      <c r="F141" s="48">
        <v>0</v>
      </c>
      <c r="G141" s="48">
        <v>0</v>
      </c>
      <c r="H141" s="48">
        <v>1.08042017</v>
      </c>
      <c r="I141" s="48">
        <v>1.08042017</v>
      </c>
      <c r="J141" s="48">
        <v>0</v>
      </c>
    </row>
    <row r="142" spans="1:10" x14ac:dyDescent="0.25">
      <c r="A142" s="434" t="s">
        <v>78</v>
      </c>
      <c r="B142" s="48">
        <v>0</v>
      </c>
      <c r="C142" s="48">
        <v>0</v>
      </c>
      <c r="D142" s="48">
        <v>0</v>
      </c>
      <c r="E142" s="48">
        <v>0.18896825</v>
      </c>
      <c r="F142" s="48">
        <v>0</v>
      </c>
      <c r="G142" s="48">
        <v>0</v>
      </c>
      <c r="H142" s="48">
        <v>1.0420443800000001</v>
      </c>
      <c r="I142" s="48">
        <v>1.0420443800000001</v>
      </c>
      <c r="J142" s="48">
        <v>0</v>
      </c>
    </row>
    <row r="143" spans="1:10" x14ac:dyDescent="0.25">
      <c r="A143" s="434" t="s">
        <v>382</v>
      </c>
      <c r="B143" s="48">
        <v>0</v>
      </c>
      <c r="C143" s="48">
        <v>0</v>
      </c>
      <c r="D143" s="48">
        <v>0.62433182999999992</v>
      </c>
      <c r="E143" s="48">
        <v>4.0574683799999995</v>
      </c>
      <c r="F143" s="48">
        <v>0</v>
      </c>
      <c r="G143" s="48">
        <v>0.20530391000000001</v>
      </c>
      <c r="H143" s="48">
        <v>0.90916467000000001</v>
      </c>
      <c r="I143" s="48">
        <v>0.91387868000000005</v>
      </c>
      <c r="J143" s="48">
        <v>0</v>
      </c>
    </row>
    <row r="144" spans="1:10" x14ac:dyDescent="0.25">
      <c r="A144" s="434" t="s">
        <v>11</v>
      </c>
      <c r="B144" s="48">
        <v>0</v>
      </c>
      <c r="C144" s="48">
        <v>0</v>
      </c>
      <c r="D144" s="48">
        <v>0</v>
      </c>
      <c r="E144" s="48">
        <v>12.49772832</v>
      </c>
      <c r="F144" s="48">
        <v>0</v>
      </c>
      <c r="G144" s="48">
        <v>0.67300282</v>
      </c>
      <c r="H144" s="48">
        <v>0.77598877000000099</v>
      </c>
      <c r="I144" s="48">
        <v>0.77598877000000099</v>
      </c>
      <c r="J144" s="48">
        <v>0</v>
      </c>
    </row>
    <row r="145" spans="1:10" x14ac:dyDescent="0.25">
      <c r="A145" s="434" t="s">
        <v>165</v>
      </c>
      <c r="B145" s="48">
        <v>0</v>
      </c>
      <c r="C145" s="48">
        <v>0</v>
      </c>
      <c r="D145" s="48">
        <v>0</v>
      </c>
      <c r="E145" s="48">
        <v>12.764252390000001</v>
      </c>
      <c r="F145" s="48">
        <v>2.1524999999999999E-2</v>
      </c>
      <c r="G145" s="48">
        <v>14.46963689</v>
      </c>
      <c r="H145" s="48">
        <v>0.75186251000000004</v>
      </c>
      <c r="I145" s="48">
        <v>8.2530330000000003</v>
      </c>
      <c r="J145" s="48">
        <v>0</v>
      </c>
    </row>
    <row r="146" spans="1:10" x14ac:dyDescent="0.25">
      <c r="A146" s="434" t="s">
        <v>188</v>
      </c>
      <c r="B146" s="48">
        <v>0</v>
      </c>
      <c r="C146" s="48">
        <v>0</v>
      </c>
      <c r="D146" s="48">
        <v>0</v>
      </c>
      <c r="E146" s="48">
        <v>11.747290420000001</v>
      </c>
      <c r="F146" s="48">
        <v>0</v>
      </c>
      <c r="G146" s="48">
        <v>17.601111679999999</v>
      </c>
      <c r="H146" s="48">
        <v>0.64402411999999998</v>
      </c>
      <c r="I146" s="48">
        <v>1.1413562500000001</v>
      </c>
      <c r="J146" s="48">
        <v>0</v>
      </c>
    </row>
    <row r="147" spans="1:10" x14ac:dyDescent="0.25">
      <c r="A147" s="434" t="s">
        <v>124</v>
      </c>
      <c r="B147" s="48">
        <v>0</v>
      </c>
      <c r="C147" s="48">
        <v>0</v>
      </c>
      <c r="D147" s="48">
        <v>0</v>
      </c>
      <c r="E147" s="48">
        <v>32.042047709999999</v>
      </c>
      <c r="F147" s="48">
        <v>0</v>
      </c>
      <c r="G147" s="48">
        <v>19.560629899999999</v>
      </c>
      <c r="H147" s="48">
        <v>0.63853432999999993</v>
      </c>
      <c r="I147" s="48">
        <v>0.63853432999999993</v>
      </c>
      <c r="J147" s="48">
        <v>0</v>
      </c>
    </row>
    <row r="148" spans="1:10" x14ac:dyDescent="0.25">
      <c r="A148" s="434" t="s">
        <v>204</v>
      </c>
      <c r="B148" s="48">
        <v>0</v>
      </c>
      <c r="C148" s="48">
        <v>0</v>
      </c>
      <c r="D148" s="48">
        <v>1.3944000000000001E-3</v>
      </c>
      <c r="E148" s="48">
        <v>9.2304106999999984</v>
      </c>
      <c r="F148" s="48">
        <v>1.6762E-4</v>
      </c>
      <c r="G148" s="48">
        <v>3.63391588</v>
      </c>
      <c r="H148" s="48">
        <v>0.59942065</v>
      </c>
      <c r="I148" s="48">
        <v>1.8727640700000001</v>
      </c>
      <c r="J148" s="48">
        <v>0</v>
      </c>
    </row>
    <row r="149" spans="1:10" x14ac:dyDescent="0.25">
      <c r="A149" s="434" t="s">
        <v>201</v>
      </c>
      <c r="B149" s="48">
        <v>0</v>
      </c>
      <c r="C149" s="48">
        <v>0</v>
      </c>
      <c r="D149" s="48">
        <v>0</v>
      </c>
      <c r="E149" s="48">
        <v>4.2997099099999998</v>
      </c>
      <c r="F149" s="48">
        <v>0</v>
      </c>
      <c r="G149" s="48">
        <v>0.24786553</v>
      </c>
      <c r="H149" s="48">
        <v>0.58383993999999995</v>
      </c>
      <c r="I149" s="48">
        <v>0.64878564000000005</v>
      </c>
      <c r="J149" s="48">
        <v>0</v>
      </c>
    </row>
    <row r="150" spans="1:10" x14ac:dyDescent="0.25">
      <c r="A150" s="434" t="s">
        <v>147</v>
      </c>
      <c r="B150" s="48">
        <v>0</v>
      </c>
      <c r="C150" s="48">
        <v>0</v>
      </c>
      <c r="D150" s="48">
        <v>0</v>
      </c>
      <c r="E150" s="48">
        <v>6.3761731600000005</v>
      </c>
      <c r="F150" s="48">
        <v>0</v>
      </c>
      <c r="G150" s="48">
        <v>3.0374992000000001</v>
      </c>
      <c r="H150" s="48">
        <v>0.56747946999999999</v>
      </c>
      <c r="I150" s="48">
        <v>0.65548539000000006</v>
      </c>
      <c r="J150" s="48">
        <v>0</v>
      </c>
    </row>
    <row r="151" spans="1:10" x14ac:dyDescent="0.25">
      <c r="A151" s="434" t="s">
        <v>199</v>
      </c>
      <c r="B151" s="48">
        <v>0</v>
      </c>
      <c r="C151" s="48">
        <v>0</v>
      </c>
      <c r="D151" s="48">
        <v>0</v>
      </c>
      <c r="E151" s="48">
        <v>0.17955010000000002</v>
      </c>
      <c r="F151" s="48">
        <v>0</v>
      </c>
      <c r="G151" s="48">
        <v>0.56312109999999993</v>
      </c>
      <c r="H151" s="48">
        <v>0.54492310999999993</v>
      </c>
      <c r="I151" s="48">
        <v>0.8218210600000001</v>
      </c>
      <c r="J151" s="48">
        <v>0</v>
      </c>
    </row>
    <row r="152" spans="1:10" x14ac:dyDescent="0.25">
      <c r="A152" s="434" t="s">
        <v>152</v>
      </c>
      <c r="B152" s="48">
        <v>0</v>
      </c>
      <c r="C152" s="48">
        <v>0</v>
      </c>
      <c r="D152" s="48">
        <v>0</v>
      </c>
      <c r="E152" s="48">
        <v>0.71065253000000006</v>
      </c>
      <c r="F152" s="48">
        <v>0</v>
      </c>
      <c r="G152" s="48">
        <v>2.02978433</v>
      </c>
      <c r="H152" s="48">
        <v>0.38586021000000004</v>
      </c>
      <c r="I152" s="48">
        <v>5.4654316399999994</v>
      </c>
      <c r="J152" s="48">
        <v>0</v>
      </c>
    </row>
    <row r="153" spans="1:10" x14ac:dyDescent="0.25">
      <c r="A153" s="434" t="s">
        <v>31</v>
      </c>
      <c r="B153" s="48">
        <v>0</v>
      </c>
      <c r="C153" s="48">
        <v>0</v>
      </c>
      <c r="D153" s="48">
        <v>0</v>
      </c>
      <c r="E153" s="48">
        <v>50.694234310000006</v>
      </c>
      <c r="F153" s="48">
        <v>20.773097920000001</v>
      </c>
      <c r="G153" s="48">
        <v>4.16886285</v>
      </c>
      <c r="H153" s="48">
        <v>0.330507</v>
      </c>
      <c r="I153" s="48">
        <v>20.999676600000001</v>
      </c>
      <c r="J153" s="48">
        <v>0.38152048999999999</v>
      </c>
    </row>
    <row r="154" spans="1:10" x14ac:dyDescent="0.25">
      <c r="A154" s="434" t="s">
        <v>125</v>
      </c>
      <c r="B154" s="48">
        <v>0</v>
      </c>
      <c r="C154" s="48">
        <v>0</v>
      </c>
      <c r="D154" s="48">
        <v>0</v>
      </c>
      <c r="E154" s="48">
        <v>69.815130370000091</v>
      </c>
      <c r="F154" s="48">
        <v>0</v>
      </c>
      <c r="G154" s="48">
        <v>98.062857750000006</v>
      </c>
      <c r="H154" s="48">
        <v>0.29077619999999998</v>
      </c>
      <c r="I154" s="48">
        <v>0.47507521000000003</v>
      </c>
      <c r="J154" s="48">
        <v>0</v>
      </c>
    </row>
    <row r="155" spans="1:10" x14ac:dyDescent="0.25">
      <c r="A155" s="434" t="s">
        <v>114</v>
      </c>
      <c r="B155" s="48">
        <v>0</v>
      </c>
      <c r="C155" s="48">
        <v>0</v>
      </c>
      <c r="D155" s="48">
        <v>0</v>
      </c>
      <c r="E155" s="48">
        <v>3.27949242</v>
      </c>
      <c r="F155" s="48">
        <v>0</v>
      </c>
      <c r="G155" s="48">
        <v>2.14574387</v>
      </c>
      <c r="H155" s="48">
        <v>0.24475792999999998</v>
      </c>
      <c r="I155" s="48">
        <v>0.28067257000000001</v>
      </c>
      <c r="J155" s="48">
        <v>0</v>
      </c>
    </row>
    <row r="156" spans="1:10" x14ac:dyDescent="0.25">
      <c r="A156" s="434" t="s">
        <v>74</v>
      </c>
      <c r="B156" s="48">
        <v>0</v>
      </c>
      <c r="C156" s="48">
        <v>0</v>
      </c>
      <c r="D156" s="48">
        <v>0</v>
      </c>
      <c r="E156" s="48">
        <v>34.963894670000002</v>
      </c>
      <c r="F156" s="48">
        <v>4.725E-2</v>
      </c>
      <c r="G156" s="48">
        <v>33.852218619999995</v>
      </c>
      <c r="H156" s="48">
        <v>0.19551132000000002</v>
      </c>
      <c r="I156" s="48">
        <v>0.39096619999999999</v>
      </c>
      <c r="J156" s="48">
        <v>0</v>
      </c>
    </row>
    <row r="157" spans="1:10" x14ac:dyDescent="0.25">
      <c r="A157" s="434" t="s">
        <v>357</v>
      </c>
      <c r="B157" s="48">
        <v>0</v>
      </c>
      <c r="C157" s="48">
        <v>0</v>
      </c>
      <c r="D157" s="48">
        <v>0</v>
      </c>
      <c r="E157" s="48">
        <v>0.96244372</v>
      </c>
      <c r="F157" s="48">
        <v>0</v>
      </c>
      <c r="G157" s="48">
        <v>1.4122100000000001E-3</v>
      </c>
      <c r="H157" s="48">
        <v>0.16254321999999999</v>
      </c>
      <c r="I157" s="48">
        <v>0.16254321999999999</v>
      </c>
      <c r="J157" s="48">
        <v>0</v>
      </c>
    </row>
    <row r="158" spans="1:10" x14ac:dyDescent="0.25">
      <c r="A158" s="434" t="s">
        <v>107</v>
      </c>
      <c r="B158" s="48">
        <v>0</v>
      </c>
      <c r="C158" s="48">
        <v>0</v>
      </c>
      <c r="D158" s="48">
        <v>0</v>
      </c>
      <c r="E158" s="48">
        <v>1.57458828</v>
      </c>
      <c r="F158" s="48">
        <v>0</v>
      </c>
      <c r="G158" s="48">
        <v>0.13828307000000001</v>
      </c>
      <c r="H158" s="48">
        <v>0.16103687</v>
      </c>
      <c r="I158" s="48">
        <v>0.21637075</v>
      </c>
      <c r="J158" s="48">
        <v>0</v>
      </c>
    </row>
    <row r="159" spans="1:10" x14ac:dyDescent="0.25">
      <c r="A159" s="434" t="s">
        <v>103</v>
      </c>
      <c r="B159" s="48">
        <v>0</v>
      </c>
      <c r="C159" s="48">
        <v>0</v>
      </c>
      <c r="D159" s="48">
        <v>0.17132645000000002</v>
      </c>
      <c r="E159" s="48">
        <v>28.906248350000002</v>
      </c>
      <c r="F159" s="48">
        <v>0</v>
      </c>
      <c r="G159" s="48">
        <v>1.6746634599999999</v>
      </c>
      <c r="H159" s="48">
        <v>0.13611282</v>
      </c>
      <c r="I159" s="48">
        <v>9.2166159999999997E-2</v>
      </c>
      <c r="J159" s="48">
        <v>0</v>
      </c>
    </row>
    <row r="160" spans="1:10" x14ac:dyDescent="0.25">
      <c r="A160" s="434" t="s">
        <v>92</v>
      </c>
      <c r="B160" s="48">
        <v>0</v>
      </c>
      <c r="C160" s="48">
        <v>0</v>
      </c>
      <c r="D160" s="48">
        <v>2.9745700000000002E-3</v>
      </c>
      <c r="E160" s="48">
        <v>21.01534603</v>
      </c>
      <c r="F160" s="48">
        <v>0</v>
      </c>
      <c r="G160" s="48">
        <v>0.43860980999999999</v>
      </c>
      <c r="H160" s="48">
        <v>0.12695438000000001</v>
      </c>
      <c r="I160" s="48">
        <v>0.12794233999999999</v>
      </c>
      <c r="J160" s="48">
        <v>0</v>
      </c>
    </row>
    <row r="161" spans="1:10" x14ac:dyDescent="0.25">
      <c r="A161" s="434" t="s">
        <v>129</v>
      </c>
      <c r="B161" s="48">
        <v>0</v>
      </c>
      <c r="C161" s="48">
        <v>0</v>
      </c>
      <c r="D161" s="48">
        <v>0</v>
      </c>
      <c r="E161" s="48">
        <v>5.7784849800000009</v>
      </c>
      <c r="F161" s="48">
        <v>0</v>
      </c>
      <c r="G161" s="48">
        <v>2.2733658399999999</v>
      </c>
      <c r="H161" s="48">
        <v>0.12254429</v>
      </c>
      <c r="I161" s="48">
        <v>0.23062639000000001</v>
      </c>
      <c r="J161" s="48">
        <v>0</v>
      </c>
    </row>
    <row r="162" spans="1:10" x14ac:dyDescent="0.25">
      <c r="A162" s="434" t="s">
        <v>60</v>
      </c>
      <c r="B162" s="48">
        <v>0</v>
      </c>
      <c r="C162" s="48">
        <v>0</v>
      </c>
      <c r="D162" s="48">
        <v>0</v>
      </c>
      <c r="E162" s="48">
        <v>0.28582767999999997</v>
      </c>
      <c r="F162" s="48">
        <v>0</v>
      </c>
      <c r="G162" s="48">
        <v>1.6205520000000001E-2</v>
      </c>
      <c r="H162" s="48">
        <v>0.11460059</v>
      </c>
      <c r="I162" s="48">
        <v>0.11460059</v>
      </c>
      <c r="J162" s="48">
        <v>0</v>
      </c>
    </row>
    <row r="163" spans="1:10" x14ac:dyDescent="0.25">
      <c r="A163" s="434" t="s">
        <v>154</v>
      </c>
      <c r="B163" s="48">
        <v>0</v>
      </c>
      <c r="C163" s="48">
        <v>0</v>
      </c>
      <c r="D163" s="48">
        <v>0</v>
      </c>
      <c r="E163" s="48">
        <v>9.9009659999999999E-2</v>
      </c>
      <c r="F163" s="48">
        <v>3.7311100000000002E-3</v>
      </c>
      <c r="G163" s="48">
        <v>0.14341402</v>
      </c>
      <c r="H163" s="48">
        <v>0.11446636</v>
      </c>
      <c r="I163" s="48">
        <v>1.32606778</v>
      </c>
      <c r="J163" s="48">
        <v>0</v>
      </c>
    </row>
    <row r="164" spans="1:10" x14ac:dyDescent="0.25">
      <c r="A164" s="434" t="s">
        <v>383</v>
      </c>
      <c r="B164" s="48">
        <v>0</v>
      </c>
      <c r="C164" s="48">
        <v>0</v>
      </c>
      <c r="D164" s="48">
        <v>0</v>
      </c>
      <c r="E164" s="48">
        <v>4.9012805899999998</v>
      </c>
      <c r="F164" s="48">
        <v>0</v>
      </c>
      <c r="G164" s="48">
        <v>3.64365E-3</v>
      </c>
      <c r="H164" s="48">
        <v>0.10504447</v>
      </c>
      <c r="I164" s="48">
        <v>0.10504447</v>
      </c>
      <c r="J164" s="48">
        <v>0</v>
      </c>
    </row>
    <row r="165" spans="1:10" x14ac:dyDescent="0.25">
      <c r="A165" s="434" t="s">
        <v>376</v>
      </c>
      <c r="B165" s="48">
        <v>0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0.10460111</v>
      </c>
      <c r="I165" s="48">
        <v>0.10460111</v>
      </c>
      <c r="J165" s="48">
        <v>0</v>
      </c>
    </row>
    <row r="166" spans="1:10" x14ac:dyDescent="0.25">
      <c r="A166" s="434" t="s">
        <v>132</v>
      </c>
      <c r="B166" s="48">
        <v>0</v>
      </c>
      <c r="C166" s="48">
        <v>0</v>
      </c>
      <c r="D166" s="48">
        <v>0</v>
      </c>
      <c r="E166" s="48">
        <v>32.712165349999999</v>
      </c>
      <c r="F166" s="48">
        <v>7.8718029999999994E-2</v>
      </c>
      <c r="G166" s="48">
        <v>14.522502080000001</v>
      </c>
      <c r="H166" s="48">
        <v>9.6759639999999994E-2</v>
      </c>
      <c r="I166" s="48">
        <v>1.81984561</v>
      </c>
      <c r="J166" s="48">
        <v>0</v>
      </c>
    </row>
    <row r="167" spans="1:10" x14ac:dyDescent="0.25">
      <c r="A167" s="434" t="s">
        <v>87</v>
      </c>
      <c r="B167" s="48">
        <v>0</v>
      </c>
      <c r="C167" s="48">
        <v>0</v>
      </c>
      <c r="D167" s="48">
        <v>0</v>
      </c>
      <c r="E167" s="48">
        <v>3.8871056800000003</v>
      </c>
      <c r="F167" s="48">
        <v>0</v>
      </c>
      <c r="G167" s="48">
        <v>5.9904799999999994E-3</v>
      </c>
      <c r="H167" s="48">
        <v>9.3554940000000003E-2</v>
      </c>
      <c r="I167" s="48">
        <v>8.2375809999999994E-2</v>
      </c>
      <c r="J167" s="48">
        <v>0</v>
      </c>
    </row>
    <row r="168" spans="1:10" x14ac:dyDescent="0.25">
      <c r="A168" s="434" t="s">
        <v>9</v>
      </c>
      <c r="B168" s="48">
        <v>0</v>
      </c>
      <c r="C168" s="48">
        <v>0</v>
      </c>
      <c r="D168" s="48">
        <v>0</v>
      </c>
      <c r="E168" s="48">
        <v>0.97430907</v>
      </c>
      <c r="F168" s="48">
        <v>0</v>
      </c>
      <c r="G168" s="48">
        <v>0</v>
      </c>
      <c r="H168" s="48">
        <v>8.8364990000000004E-2</v>
      </c>
      <c r="I168" s="48">
        <v>8.8364990000000004E-2</v>
      </c>
      <c r="J168" s="48">
        <v>0</v>
      </c>
    </row>
    <row r="169" spans="1:10" x14ac:dyDescent="0.25">
      <c r="A169" s="434" t="s">
        <v>94</v>
      </c>
      <c r="B169" s="48">
        <v>0</v>
      </c>
      <c r="C169" s="48">
        <v>0</v>
      </c>
      <c r="D169" s="48">
        <v>0</v>
      </c>
      <c r="E169" s="48">
        <v>9.4196411400000013</v>
      </c>
      <c r="F169" s="48">
        <v>0</v>
      </c>
      <c r="G169" s="48">
        <v>0.70907887999999997</v>
      </c>
      <c r="H169" s="48">
        <v>7.9976939999999996E-2</v>
      </c>
      <c r="I169" s="48">
        <v>7.9976939999999996E-2</v>
      </c>
      <c r="J169" s="48">
        <v>0</v>
      </c>
    </row>
    <row r="170" spans="1:10" x14ac:dyDescent="0.25">
      <c r="A170" s="434" t="s">
        <v>98</v>
      </c>
      <c r="B170" s="48">
        <v>0</v>
      </c>
      <c r="C170" s="48">
        <v>0</v>
      </c>
      <c r="D170" s="48">
        <v>0</v>
      </c>
      <c r="E170" s="48">
        <v>0.69162592000000001</v>
      </c>
      <c r="F170" s="48">
        <v>0</v>
      </c>
      <c r="G170" s="48">
        <v>0.35775789000000002</v>
      </c>
      <c r="H170" s="48">
        <v>7.7430009999999994E-2</v>
      </c>
      <c r="I170" s="48">
        <v>0.10756972000000001</v>
      </c>
      <c r="J170" s="48">
        <v>0</v>
      </c>
    </row>
    <row r="171" spans="1:10" x14ac:dyDescent="0.25">
      <c r="A171" s="434" t="s">
        <v>14</v>
      </c>
      <c r="B171" s="48">
        <v>0</v>
      </c>
      <c r="C171" s="48">
        <v>0</v>
      </c>
      <c r="D171" s="48">
        <v>0</v>
      </c>
      <c r="E171" s="48">
        <v>1.1974591999999999</v>
      </c>
      <c r="F171" s="48">
        <v>0</v>
      </c>
      <c r="G171" s="48">
        <v>4.0473000000000001E-4</v>
      </c>
      <c r="H171" s="48">
        <v>5.855494E-2</v>
      </c>
      <c r="I171" s="48">
        <v>5.855494E-2</v>
      </c>
      <c r="J171" s="48">
        <v>0</v>
      </c>
    </row>
    <row r="172" spans="1:10" x14ac:dyDescent="0.25">
      <c r="A172" s="434" t="s">
        <v>77</v>
      </c>
      <c r="B172" s="48">
        <v>0</v>
      </c>
      <c r="C172" s="48">
        <v>0</v>
      </c>
      <c r="D172" s="48">
        <v>0</v>
      </c>
      <c r="E172" s="48">
        <v>0.23223151</v>
      </c>
      <c r="F172" s="48">
        <v>0</v>
      </c>
      <c r="G172" s="48">
        <v>0</v>
      </c>
      <c r="H172" s="48">
        <v>5.5282809999999995E-2</v>
      </c>
      <c r="I172" s="48">
        <v>5.5282809999999995E-2</v>
      </c>
      <c r="J172" s="48">
        <v>0</v>
      </c>
    </row>
    <row r="173" spans="1:10" x14ac:dyDescent="0.25">
      <c r="A173" s="434" t="s">
        <v>371</v>
      </c>
      <c r="B173" s="48">
        <v>0</v>
      </c>
      <c r="C173" s="48">
        <v>0</v>
      </c>
      <c r="D173" s="48">
        <v>0</v>
      </c>
      <c r="E173" s="48">
        <v>0.26748124000000001</v>
      </c>
      <c r="F173" s="48">
        <v>0</v>
      </c>
      <c r="G173" s="48">
        <v>3.9398999999999999E-4</v>
      </c>
      <c r="H173" s="48">
        <v>5.4416900000000004E-2</v>
      </c>
      <c r="I173" s="48">
        <v>5.4416900000000004E-2</v>
      </c>
      <c r="J173" s="48">
        <v>0</v>
      </c>
    </row>
    <row r="174" spans="1:10" x14ac:dyDescent="0.25">
      <c r="A174" s="434" t="s">
        <v>380</v>
      </c>
      <c r="B174" s="48">
        <v>0</v>
      </c>
      <c r="C174" s="48">
        <v>0</v>
      </c>
      <c r="D174" s="48">
        <v>0</v>
      </c>
      <c r="E174" s="48">
        <v>1.329963E-2</v>
      </c>
      <c r="F174" s="48">
        <v>0</v>
      </c>
      <c r="G174" s="48">
        <v>0</v>
      </c>
      <c r="H174" s="48">
        <v>4.6275530000000002E-2</v>
      </c>
      <c r="I174" s="48">
        <v>4.6275530000000002E-2</v>
      </c>
      <c r="J174" s="48">
        <v>0</v>
      </c>
    </row>
    <row r="175" spans="1:10" x14ac:dyDescent="0.25">
      <c r="A175" s="434" t="s">
        <v>381</v>
      </c>
      <c r="B175" s="48">
        <v>0</v>
      </c>
      <c r="C175" s="48">
        <v>0</v>
      </c>
      <c r="D175" s="48">
        <v>0</v>
      </c>
      <c r="E175" s="48">
        <v>1.4905317499999999</v>
      </c>
      <c r="F175" s="48">
        <v>0</v>
      </c>
      <c r="G175" s="48">
        <v>5.407704E-2</v>
      </c>
      <c r="H175" s="48">
        <v>4.1068220000000003E-2</v>
      </c>
      <c r="I175" s="48">
        <v>4.1806929999999999E-2</v>
      </c>
      <c r="J175" s="48">
        <v>0</v>
      </c>
    </row>
    <row r="176" spans="1:10" x14ac:dyDescent="0.25">
      <c r="A176" s="434" t="s">
        <v>377</v>
      </c>
      <c r="B176" s="48">
        <v>0</v>
      </c>
      <c r="C176" s="48">
        <v>0</v>
      </c>
      <c r="D176" s="48">
        <v>0</v>
      </c>
      <c r="E176" s="48">
        <v>4.2274000000000001E-4</v>
      </c>
      <c r="F176" s="48">
        <v>0</v>
      </c>
      <c r="G176" s="48">
        <v>0</v>
      </c>
      <c r="H176" s="48">
        <v>3.6546199999999994E-2</v>
      </c>
      <c r="I176" s="48">
        <v>3.6546199999999994E-2</v>
      </c>
      <c r="J176" s="48">
        <v>0</v>
      </c>
    </row>
    <row r="177" spans="1:10" x14ac:dyDescent="0.25">
      <c r="A177" s="434" t="s">
        <v>169</v>
      </c>
      <c r="B177" s="48">
        <v>0</v>
      </c>
      <c r="C177" s="48">
        <v>0</v>
      </c>
      <c r="D177" s="48">
        <v>0</v>
      </c>
      <c r="E177" s="48">
        <v>1.62822529</v>
      </c>
      <c r="F177" s="48">
        <v>0</v>
      </c>
      <c r="G177" s="48">
        <v>1.55627381</v>
      </c>
      <c r="H177" s="48">
        <v>3.571394E-2</v>
      </c>
      <c r="I177" s="48">
        <v>0.10005662</v>
      </c>
      <c r="J177" s="48">
        <v>0</v>
      </c>
    </row>
    <row r="178" spans="1:10" x14ac:dyDescent="0.25">
      <c r="A178" s="434" t="s">
        <v>13</v>
      </c>
      <c r="B178" s="48">
        <v>0</v>
      </c>
      <c r="C178" s="48">
        <v>0</v>
      </c>
      <c r="D178" s="48">
        <v>0</v>
      </c>
      <c r="E178" s="48">
        <v>0.25292945</v>
      </c>
      <c r="F178" s="48">
        <v>0</v>
      </c>
      <c r="G178" s="48">
        <v>1.8702080000000003E-2</v>
      </c>
      <c r="H178" s="48">
        <v>3.4138919999999996E-2</v>
      </c>
      <c r="I178" s="48">
        <v>3.4138919999999996E-2</v>
      </c>
      <c r="J178" s="48">
        <v>0</v>
      </c>
    </row>
    <row r="179" spans="1:10" x14ac:dyDescent="0.25">
      <c r="A179" s="434" t="s">
        <v>128</v>
      </c>
      <c r="B179" s="48">
        <v>0</v>
      </c>
      <c r="C179" s="48">
        <v>0</v>
      </c>
      <c r="D179" s="48">
        <v>0</v>
      </c>
      <c r="E179" s="48">
        <v>1.251946E-2</v>
      </c>
      <c r="F179" s="48">
        <v>0</v>
      </c>
      <c r="G179" s="48">
        <v>0</v>
      </c>
      <c r="H179" s="48">
        <v>3.3277889999999997E-2</v>
      </c>
      <c r="I179" s="48">
        <v>1.481916E-2</v>
      </c>
      <c r="J179" s="48">
        <v>0</v>
      </c>
    </row>
    <row r="180" spans="1:10" x14ac:dyDescent="0.25">
      <c r="A180" s="434" t="s">
        <v>43</v>
      </c>
      <c r="B180" s="48">
        <v>0</v>
      </c>
      <c r="C180" s="48">
        <v>0</v>
      </c>
      <c r="D180" s="48">
        <v>0</v>
      </c>
      <c r="E180" s="48">
        <v>0.85946046999999992</v>
      </c>
      <c r="F180" s="48">
        <v>0</v>
      </c>
      <c r="G180" s="48">
        <v>0.37228549999999999</v>
      </c>
      <c r="H180" s="48">
        <v>3.2110449999999999E-2</v>
      </c>
      <c r="I180" s="48">
        <v>5.302196E-2</v>
      </c>
      <c r="J180" s="48">
        <v>5.4897100000000001E-3</v>
      </c>
    </row>
    <row r="181" spans="1:10" x14ac:dyDescent="0.25">
      <c r="A181" s="434" t="s">
        <v>69</v>
      </c>
      <c r="B181" s="48">
        <v>0</v>
      </c>
      <c r="C181" s="48">
        <v>0</v>
      </c>
      <c r="D181" s="48">
        <v>0</v>
      </c>
      <c r="E181" s="48">
        <v>0.82918097000000002</v>
      </c>
      <c r="F181" s="48">
        <v>0</v>
      </c>
      <c r="G181" s="48">
        <v>2.6789800000000001E-3</v>
      </c>
      <c r="H181" s="48">
        <v>2.7614E-2</v>
      </c>
      <c r="I181" s="48">
        <v>9.2487529999999998E-2</v>
      </c>
      <c r="J181" s="48">
        <v>0</v>
      </c>
    </row>
    <row r="182" spans="1:10" x14ac:dyDescent="0.25">
      <c r="A182" s="434" t="s">
        <v>73</v>
      </c>
      <c r="B182" s="48">
        <v>0</v>
      </c>
      <c r="C182" s="48">
        <v>0</v>
      </c>
      <c r="D182" s="48">
        <v>0</v>
      </c>
      <c r="E182" s="48">
        <v>2.4408188100000001</v>
      </c>
      <c r="F182" s="48">
        <v>0</v>
      </c>
      <c r="G182" s="48">
        <v>0.184644</v>
      </c>
      <c r="H182" s="48">
        <v>2.704053E-2</v>
      </c>
      <c r="I182" s="48">
        <v>2.8341790000000002E-2</v>
      </c>
      <c r="J182" s="48">
        <v>0</v>
      </c>
    </row>
    <row r="183" spans="1:10" x14ac:dyDescent="0.25">
      <c r="A183" s="434" t="s">
        <v>50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1.7632490000000001E-2</v>
      </c>
      <c r="I183" s="48">
        <v>1.7632490000000001E-2</v>
      </c>
      <c r="J183" s="48">
        <v>0</v>
      </c>
    </row>
    <row r="184" spans="1:10" x14ac:dyDescent="0.25">
      <c r="A184" s="434" t="s">
        <v>367</v>
      </c>
      <c r="B184" s="48">
        <v>0</v>
      </c>
      <c r="C184" s="48">
        <v>0</v>
      </c>
      <c r="D184" s="48">
        <v>0</v>
      </c>
      <c r="E184" s="48">
        <v>0.14012957999999998</v>
      </c>
      <c r="F184" s="48">
        <v>0</v>
      </c>
      <c r="G184" s="48">
        <v>0</v>
      </c>
      <c r="H184" s="48">
        <v>1.7193730000000001E-2</v>
      </c>
      <c r="I184" s="48">
        <v>1.7193730000000001E-2</v>
      </c>
      <c r="J184" s="48">
        <v>0</v>
      </c>
    </row>
    <row r="185" spans="1:10" x14ac:dyDescent="0.25">
      <c r="A185" s="434" t="s">
        <v>126</v>
      </c>
      <c r="B185" s="48">
        <v>0</v>
      </c>
      <c r="C185" s="48">
        <v>0</v>
      </c>
      <c r="D185" s="48">
        <v>0</v>
      </c>
      <c r="E185" s="48">
        <v>10.058053109999999</v>
      </c>
      <c r="F185" s="48">
        <v>0</v>
      </c>
      <c r="G185" s="48">
        <v>2.4485052200000004</v>
      </c>
      <c r="H185" s="48">
        <v>1.6107010000000001E-2</v>
      </c>
      <c r="I185" s="48">
        <v>2.1436049999999998E-2</v>
      </c>
      <c r="J185" s="48">
        <v>0</v>
      </c>
    </row>
    <row r="186" spans="1:10" x14ac:dyDescent="0.25">
      <c r="A186" s="434" t="s">
        <v>359</v>
      </c>
      <c r="B186" s="48">
        <v>0</v>
      </c>
      <c r="C186" s="48">
        <v>0</v>
      </c>
      <c r="D186" s="48">
        <v>0</v>
      </c>
      <c r="E186" s="48">
        <v>2.40973317</v>
      </c>
      <c r="F186" s="48">
        <v>0</v>
      </c>
      <c r="G186" s="48">
        <v>0.90875952000000004</v>
      </c>
      <c r="H186" s="48">
        <v>1.2226600000000001E-2</v>
      </c>
      <c r="I186" s="48">
        <v>0.28425768000000001</v>
      </c>
      <c r="J186" s="48">
        <v>0</v>
      </c>
    </row>
    <row r="187" spans="1:10" x14ac:dyDescent="0.25">
      <c r="A187" s="434" t="s">
        <v>141</v>
      </c>
      <c r="B187" s="48">
        <v>0</v>
      </c>
      <c r="C187" s="48">
        <v>0</v>
      </c>
      <c r="D187" s="48">
        <v>0</v>
      </c>
      <c r="E187" s="48">
        <v>0</v>
      </c>
      <c r="F187" s="48">
        <v>0</v>
      </c>
      <c r="G187" s="48">
        <v>2.9973220000000002E-2</v>
      </c>
      <c r="H187" s="48">
        <v>1.1750209999999999E-2</v>
      </c>
      <c r="I187" s="48">
        <v>6.1349853099999994</v>
      </c>
      <c r="J187" s="48">
        <v>0</v>
      </c>
    </row>
    <row r="188" spans="1:10" x14ac:dyDescent="0.25">
      <c r="A188" s="434" t="s">
        <v>91</v>
      </c>
      <c r="B188" s="48">
        <v>0</v>
      </c>
      <c r="C188" s="48">
        <v>0</v>
      </c>
      <c r="D188" s="48">
        <v>0</v>
      </c>
      <c r="E188" s="48">
        <v>1.1832570800000002</v>
      </c>
      <c r="F188" s="48">
        <v>0</v>
      </c>
      <c r="G188" s="48">
        <v>1.29463635</v>
      </c>
      <c r="H188" s="48">
        <v>9.2800599999999997E-3</v>
      </c>
      <c r="I188" s="48">
        <v>5.0573390000000003E-2</v>
      </c>
      <c r="J188" s="48">
        <v>0</v>
      </c>
    </row>
    <row r="189" spans="1:10" x14ac:dyDescent="0.25">
      <c r="A189" s="434" t="s">
        <v>374</v>
      </c>
      <c r="B189" s="48">
        <v>0</v>
      </c>
      <c r="C189" s="48">
        <v>0</v>
      </c>
      <c r="D189" s="48">
        <v>0</v>
      </c>
      <c r="E189" s="48">
        <v>0.59606842000000004</v>
      </c>
      <c r="F189" s="48">
        <v>0</v>
      </c>
      <c r="G189" s="48">
        <v>0</v>
      </c>
      <c r="H189" s="48">
        <v>9.1851299999999997E-3</v>
      </c>
      <c r="I189" s="48">
        <v>9.1851299999999997E-3</v>
      </c>
      <c r="J189" s="48">
        <v>0</v>
      </c>
    </row>
    <row r="190" spans="1:10" x14ac:dyDescent="0.25">
      <c r="A190" s="434" t="s">
        <v>352</v>
      </c>
      <c r="B190" s="48">
        <v>0</v>
      </c>
      <c r="C190" s="48">
        <v>0</v>
      </c>
      <c r="D190" s="48">
        <v>0</v>
      </c>
      <c r="E190" s="48">
        <v>1.0879849399999999</v>
      </c>
      <c r="F190" s="48">
        <v>0</v>
      </c>
      <c r="G190" s="48">
        <v>0.11532767999999999</v>
      </c>
      <c r="H190" s="48">
        <v>5.4690900000000002E-3</v>
      </c>
      <c r="I190" s="48">
        <v>8.4640309999999996E-2</v>
      </c>
      <c r="J190" s="48">
        <v>0</v>
      </c>
    </row>
    <row r="191" spans="1:10" x14ac:dyDescent="0.25">
      <c r="A191" s="434" t="s">
        <v>149</v>
      </c>
      <c r="B191" s="48">
        <v>0</v>
      </c>
      <c r="C191" s="48">
        <v>0</v>
      </c>
      <c r="D191" s="48">
        <v>0</v>
      </c>
      <c r="E191" s="48">
        <v>1.3061956399999999</v>
      </c>
      <c r="F191" s="48">
        <v>0</v>
      </c>
      <c r="G191" s="48">
        <v>2.7723446099999998</v>
      </c>
      <c r="H191" s="48">
        <v>4.9049799999999998E-3</v>
      </c>
      <c r="I191" s="48">
        <v>1.6834860199999999</v>
      </c>
      <c r="J191" s="48">
        <v>0</v>
      </c>
    </row>
    <row r="192" spans="1:10" x14ac:dyDescent="0.25">
      <c r="A192" s="434" t="s">
        <v>203</v>
      </c>
      <c r="B192" s="48">
        <v>0</v>
      </c>
      <c r="C192" s="48">
        <v>0</v>
      </c>
      <c r="D192" s="48">
        <v>0</v>
      </c>
      <c r="E192" s="48">
        <v>0.67955680000000007</v>
      </c>
      <c r="F192" s="48">
        <v>0</v>
      </c>
      <c r="G192" s="48">
        <v>0.76778218999999992</v>
      </c>
      <c r="H192" s="48">
        <v>2.5753099999999999E-3</v>
      </c>
      <c r="I192" s="48">
        <v>0.31560288000000003</v>
      </c>
      <c r="J192" s="48">
        <v>0</v>
      </c>
    </row>
    <row r="193" spans="1:10" x14ac:dyDescent="0.25">
      <c r="A193" s="434" t="s">
        <v>211</v>
      </c>
      <c r="B193" s="48">
        <v>0</v>
      </c>
      <c r="C193" s="48">
        <v>0</v>
      </c>
      <c r="D193" s="48">
        <v>0</v>
      </c>
      <c r="E193" s="48">
        <v>0.82380128000000008</v>
      </c>
      <c r="F193" s="48">
        <v>0</v>
      </c>
      <c r="G193" s="48">
        <v>0.13838001999999999</v>
      </c>
      <c r="H193" s="48">
        <v>2.4832500000000002E-3</v>
      </c>
      <c r="I193" s="48">
        <v>8.9770587899999992</v>
      </c>
      <c r="J193" s="48">
        <v>0</v>
      </c>
    </row>
    <row r="194" spans="1:10" x14ac:dyDescent="0.25">
      <c r="A194" s="434" t="s">
        <v>47</v>
      </c>
      <c r="B194" s="48">
        <v>0</v>
      </c>
      <c r="C194" s="48">
        <v>0</v>
      </c>
      <c r="D194" s="48">
        <v>0</v>
      </c>
      <c r="E194" s="48">
        <v>2.7443599999999999E-3</v>
      </c>
      <c r="F194" s="48">
        <v>0</v>
      </c>
      <c r="G194" s="48">
        <v>1.5485799999999999E-2</v>
      </c>
      <c r="H194" s="48">
        <v>2.2532899999999998E-3</v>
      </c>
      <c r="I194" s="48">
        <v>8.5357699999999998E-3</v>
      </c>
      <c r="J194" s="48">
        <v>0</v>
      </c>
    </row>
    <row r="195" spans="1:10" x14ac:dyDescent="0.25">
      <c r="A195" s="434" t="s">
        <v>148</v>
      </c>
      <c r="B195" s="48">
        <v>0</v>
      </c>
      <c r="C195" s="48">
        <v>0</v>
      </c>
      <c r="D195" s="48">
        <v>0</v>
      </c>
      <c r="E195" s="48">
        <v>0.22016301000000002</v>
      </c>
      <c r="F195" s="48">
        <v>0</v>
      </c>
      <c r="G195" s="48">
        <v>1.280398E-2</v>
      </c>
      <c r="H195" s="48">
        <v>1.9626999999999999E-3</v>
      </c>
      <c r="I195" s="48">
        <v>1.9626999999999999E-3</v>
      </c>
      <c r="J195" s="48">
        <v>0</v>
      </c>
    </row>
    <row r="196" spans="1:10" x14ac:dyDescent="0.25">
      <c r="A196" s="434" t="s">
        <v>36</v>
      </c>
      <c r="B196" s="48">
        <v>0</v>
      </c>
      <c r="C196" s="48">
        <v>0</v>
      </c>
      <c r="D196" s="48">
        <v>0</v>
      </c>
      <c r="E196" s="48">
        <v>1.92862168</v>
      </c>
      <c r="F196" s="48">
        <v>0</v>
      </c>
      <c r="G196" s="48">
        <v>0.16857264000000002</v>
      </c>
      <c r="H196" s="48">
        <v>1.39602E-3</v>
      </c>
      <c r="I196" s="48">
        <v>1.39602E-3</v>
      </c>
      <c r="J196" s="48">
        <v>0</v>
      </c>
    </row>
    <row r="197" spans="1:10" x14ac:dyDescent="0.25">
      <c r="A197" s="434" t="s">
        <v>378</v>
      </c>
      <c r="B197" s="48">
        <v>0</v>
      </c>
      <c r="C197" s="48">
        <v>0</v>
      </c>
      <c r="D197" s="48">
        <v>0</v>
      </c>
      <c r="E197" s="48">
        <v>4.4236089500000002</v>
      </c>
      <c r="F197" s="48">
        <v>0</v>
      </c>
      <c r="G197" s="48">
        <v>6.6723229999999994E-2</v>
      </c>
      <c r="H197" s="48">
        <v>1.323E-3</v>
      </c>
      <c r="I197" s="48">
        <v>7.4618500000000008E-3</v>
      </c>
      <c r="J197" s="48">
        <v>0</v>
      </c>
    </row>
    <row r="198" spans="1:10" x14ac:dyDescent="0.25">
      <c r="A198" s="434" t="s">
        <v>122</v>
      </c>
      <c r="B198" s="48">
        <v>0</v>
      </c>
      <c r="C198" s="48">
        <v>0</v>
      </c>
      <c r="D198" s="48">
        <v>0</v>
      </c>
      <c r="E198" s="48">
        <v>1.1238308600000002</v>
      </c>
      <c r="F198" s="48">
        <v>0</v>
      </c>
      <c r="G198" s="48">
        <v>5.6327349999999998E-2</v>
      </c>
      <c r="H198" s="48">
        <v>1.1150399999999999E-3</v>
      </c>
      <c r="I198" s="48">
        <v>1.1150399999999999E-3</v>
      </c>
      <c r="J198" s="48">
        <v>0</v>
      </c>
    </row>
    <row r="199" spans="1:10" x14ac:dyDescent="0.25">
      <c r="A199" s="434" t="s">
        <v>351</v>
      </c>
      <c r="B199" s="48">
        <v>0</v>
      </c>
      <c r="C199" s="48">
        <v>0</v>
      </c>
      <c r="D199" s="48">
        <v>0</v>
      </c>
      <c r="E199" s="48">
        <v>1.30554039</v>
      </c>
      <c r="F199" s="48">
        <v>0</v>
      </c>
      <c r="G199" s="48">
        <v>1.19586989</v>
      </c>
      <c r="H199" s="48">
        <v>6.8816999999999999E-4</v>
      </c>
      <c r="I199" s="48">
        <v>3.5194030000000001E-2</v>
      </c>
      <c r="J199" s="48">
        <v>0</v>
      </c>
    </row>
    <row r="200" spans="1:10" x14ac:dyDescent="0.25">
      <c r="A200" s="434" t="s">
        <v>41</v>
      </c>
      <c r="B200" s="48">
        <v>0</v>
      </c>
      <c r="C200" s="48">
        <v>0</v>
      </c>
      <c r="D200" s="48">
        <v>0</v>
      </c>
      <c r="E200" s="48">
        <v>1.9244869999999997E-2</v>
      </c>
      <c r="F200" s="48">
        <v>0</v>
      </c>
      <c r="G200" s="48">
        <v>2.0844580000000001E-2</v>
      </c>
      <c r="H200" s="48">
        <v>5.2536E-4</v>
      </c>
      <c r="I200" s="48">
        <v>5.2536E-4</v>
      </c>
      <c r="J200" s="48">
        <v>0</v>
      </c>
    </row>
    <row r="201" spans="1:10" x14ac:dyDescent="0.25">
      <c r="A201" s="434" t="s">
        <v>4</v>
      </c>
      <c r="B201" s="48">
        <v>0</v>
      </c>
      <c r="C201" s="48">
        <v>0</v>
      </c>
      <c r="D201" s="48">
        <v>0</v>
      </c>
      <c r="E201" s="48">
        <v>33.665445729999995</v>
      </c>
      <c r="F201" s="48">
        <v>0</v>
      </c>
      <c r="G201" s="48">
        <v>0</v>
      </c>
      <c r="H201" s="48">
        <v>3.7770999999999996E-4</v>
      </c>
      <c r="I201" s="48">
        <v>3.7770999999999996E-4</v>
      </c>
      <c r="J201" s="48">
        <v>0</v>
      </c>
    </row>
    <row r="202" spans="1:10" x14ac:dyDescent="0.25">
      <c r="A202" s="434" t="s">
        <v>379</v>
      </c>
      <c r="B202" s="48">
        <v>0</v>
      </c>
      <c r="C202" s="48">
        <v>0</v>
      </c>
      <c r="D202" s="48">
        <v>0</v>
      </c>
      <c r="E202" s="48">
        <v>7.3638149999999999E-2</v>
      </c>
      <c r="F202" s="48">
        <v>0</v>
      </c>
      <c r="G202" s="48">
        <v>4.2868199999999993E-3</v>
      </c>
      <c r="H202" s="48">
        <v>3.3045999999999998E-4</v>
      </c>
      <c r="I202" s="48">
        <v>1.012127E-2</v>
      </c>
      <c r="J202" s="48">
        <v>0</v>
      </c>
    </row>
    <row r="203" spans="1:10" x14ac:dyDescent="0.25">
      <c r="A203" s="434" t="s">
        <v>185</v>
      </c>
      <c r="B203" s="48">
        <v>0</v>
      </c>
      <c r="C203" s="48">
        <v>0</v>
      </c>
      <c r="D203" s="48">
        <v>0</v>
      </c>
      <c r="E203" s="48">
        <v>2.6646951200000002</v>
      </c>
      <c r="F203" s="48">
        <v>0</v>
      </c>
      <c r="G203" s="48">
        <v>9.4690599999999996E-3</v>
      </c>
      <c r="H203" s="48">
        <v>1.2712999999999998E-4</v>
      </c>
      <c r="I203" s="48">
        <v>8.0426400000000002E-3</v>
      </c>
      <c r="J203" s="48">
        <v>0</v>
      </c>
    </row>
    <row r="204" spans="1:10" x14ac:dyDescent="0.25">
      <c r="A204" s="434" t="s">
        <v>384</v>
      </c>
      <c r="B204" s="48">
        <v>0</v>
      </c>
      <c r="C204" s="48">
        <v>0</v>
      </c>
      <c r="D204" s="48">
        <v>0</v>
      </c>
      <c r="E204" s="48">
        <v>30.517453149999998</v>
      </c>
      <c r="F204" s="48">
        <v>0</v>
      </c>
      <c r="G204" s="48">
        <v>6.3523701299999997</v>
      </c>
      <c r="H204" s="48">
        <v>0</v>
      </c>
      <c r="I204" s="48">
        <v>8.0591139999999992</v>
      </c>
      <c r="J204" s="48">
        <v>0</v>
      </c>
    </row>
    <row r="205" spans="1:10" x14ac:dyDescent="0.25">
      <c r="A205" s="434" t="s">
        <v>109</v>
      </c>
      <c r="B205" s="48">
        <v>0</v>
      </c>
      <c r="C205" s="48">
        <v>0</v>
      </c>
      <c r="D205" s="48">
        <v>0</v>
      </c>
      <c r="E205" s="48">
        <v>4.5239014000000006</v>
      </c>
      <c r="F205" s="48">
        <v>0</v>
      </c>
      <c r="G205" s="48">
        <v>2.8887149500000002</v>
      </c>
      <c r="H205" s="48">
        <v>0</v>
      </c>
      <c r="I205" s="48">
        <v>5.5931800000000005E-3</v>
      </c>
      <c r="J205" s="48">
        <v>0</v>
      </c>
    </row>
    <row r="206" spans="1:10" x14ac:dyDescent="0.25">
      <c r="A206" s="434" t="s">
        <v>170</v>
      </c>
      <c r="B206" s="48">
        <v>0</v>
      </c>
      <c r="C206" s="48">
        <v>0</v>
      </c>
      <c r="D206" s="48">
        <v>0</v>
      </c>
      <c r="E206" s="48">
        <v>0.65851599999999999</v>
      </c>
      <c r="F206" s="48">
        <v>0</v>
      </c>
      <c r="G206" s="48">
        <v>1.8298901000000001</v>
      </c>
      <c r="H206" s="48">
        <v>0</v>
      </c>
      <c r="I206" s="48">
        <v>8.9375690000000008E-2</v>
      </c>
      <c r="J206" s="48">
        <v>0</v>
      </c>
    </row>
    <row r="207" spans="1:10" x14ac:dyDescent="0.25">
      <c r="A207" s="434" t="s">
        <v>68</v>
      </c>
      <c r="B207" s="48">
        <v>0</v>
      </c>
      <c r="C207" s="48">
        <v>0</v>
      </c>
      <c r="D207" s="48">
        <v>0</v>
      </c>
      <c r="E207" s="48">
        <v>1.5066876999999999</v>
      </c>
      <c r="F207" s="48">
        <v>3.15E-2</v>
      </c>
      <c r="G207" s="48">
        <v>0.75930724999999999</v>
      </c>
      <c r="H207" s="48">
        <v>0</v>
      </c>
      <c r="I207" s="48">
        <v>10.481791560000001</v>
      </c>
      <c r="J207" s="48">
        <v>0</v>
      </c>
    </row>
    <row r="208" spans="1:10" x14ac:dyDescent="0.25">
      <c r="A208" s="434" t="s">
        <v>110</v>
      </c>
      <c r="B208" s="48">
        <v>0</v>
      </c>
      <c r="C208" s="48">
        <v>0</v>
      </c>
      <c r="D208" s="48">
        <v>0</v>
      </c>
      <c r="E208" s="48">
        <v>3.01187805</v>
      </c>
      <c r="F208" s="48">
        <v>0</v>
      </c>
      <c r="G208" s="48">
        <v>0.42707684000000001</v>
      </c>
      <c r="H208" s="48">
        <v>0</v>
      </c>
      <c r="I208" s="48">
        <v>3.7460100000000001E-3</v>
      </c>
      <c r="J208" s="48">
        <v>0</v>
      </c>
    </row>
    <row r="209" spans="1:10" x14ac:dyDescent="0.25">
      <c r="A209" s="434" t="s">
        <v>360</v>
      </c>
      <c r="B209" s="48">
        <v>0</v>
      </c>
      <c r="C209" s="48">
        <v>0</v>
      </c>
      <c r="D209" s="48">
        <v>0</v>
      </c>
      <c r="E209" s="48">
        <v>12.197115849999999</v>
      </c>
      <c r="F209" s="48">
        <v>0</v>
      </c>
      <c r="G209" s="48">
        <v>0.40924894000000001</v>
      </c>
      <c r="H209" s="48">
        <v>0</v>
      </c>
      <c r="I209" s="48">
        <v>0</v>
      </c>
      <c r="J209" s="48">
        <v>1.5364200000000001E-3</v>
      </c>
    </row>
    <row r="210" spans="1:10" x14ac:dyDescent="0.25">
      <c r="A210" s="434" t="s">
        <v>183</v>
      </c>
      <c r="B210" s="48">
        <v>0</v>
      </c>
      <c r="C210" s="48">
        <v>0</v>
      </c>
      <c r="D210" s="48">
        <v>0</v>
      </c>
      <c r="E210" s="48">
        <v>1.8573765200000001</v>
      </c>
      <c r="F210" s="48">
        <v>0</v>
      </c>
      <c r="G210" s="48">
        <v>0.26829762000000001</v>
      </c>
      <c r="H210" s="48">
        <v>0</v>
      </c>
      <c r="I210" s="48">
        <v>0</v>
      </c>
      <c r="J210" s="48">
        <v>0</v>
      </c>
    </row>
    <row r="211" spans="1:10" x14ac:dyDescent="0.25">
      <c r="A211" s="434" t="s">
        <v>153</v>
      </c>
      <c r="B211" s="48">
        <v>0</v>
      </c>
      <c r="C211" s="48">
        <v>0</v>
      </c>
      <c r="D211" s="48">
        <v>0</v>
      </c>
      <c r="E211" s="48">
        <v>1.87188972</v>
      </c>
      <c r="F211" s="48">
        <v>0</v>
      </c>
      <c r="G211" s="48">
        <v>0.25529626</v>
      </c>
      <c r="H211" s="48">
        <v>0</v>
      </c>
      <c r="I211" s="48">
        <v>8.3067330000000009E-2</v>
      </c>
      <c r="J211" s="48">
        <v>0</v>
      </c>
    </row>
    <row r="212" spans="1:10" x14ac:dyDescent="0.25">
      <c r="A212" s="434" t="s">
        <v>121</v>
      </c>
      <c r="B212" s="48">
        <v>0</v>
      </c>
      <c r="C212" s="48">
        <v>0</v>
      </c>
      <c r="D212" s="48">
        <v>0.16872501000000001</v>
      </c>
      <c r="E212" s="48">
        <v>0.23458722000000001</v>
      </c>
      <c r="F212" s="48">
        <v>0</v>
      </c>
      <c r="G212" s="48">
        <v>0.17501812999999999</v>
      </c>
      <c r="H212" s="48">
        <v>0</v>
      </c>
      <c r="I212" s="48">
        <v>0</v>
      </c>
      <c r="J212" s="48">
        <v>0</v>
      </c>
    </row>
    <row r="213" spans="1:10" x14ac:dyDescent="0.25">
      <c r="A213" s="434" t="s">
        <v>368</v>
      </c>
      <c r="B213" s="48">
        <v>0</v>
      </c>
      <c r="C213" s="48">
        <v>0</v>
      </c>
      <c r="D213" s="48">
        <v>0</v>
      </c>
      <c r="E213" s="48">
        <v>0.94547581000000003</v>
      </c>
      <c r="F213" s="48">
        <v>0</v>
      </c>
      <c r="G213" s="48">
        <v>7.3431210000000011E-2</v>
      </c>
      <c r="H213" s="48">
        <v>0</v>
      </c>
      <c r="I213" s="48">
        <v>0</v>
      </c>
      <c r="J213" s="48">
        <v>0</v>
      </c>
    </row>
    <row r="214" spans="1:10" x14ac:dyDescent="0.25">
      <c r="A214" s="434" t="s">
        <v>35</v>
      </c>
      <c r="B214" s="48">
        <v>0</v>
      </c>
      <c r="C214" s="48">
        <v>0</v>
      </c>
      <c r="D214" s="48">
        <v>0</v>
      </c>
      <c r="E214" s="48">
        <v>1.0189329499999999</v>
      </c>
      <c r="F214" s="48">
        <v>0</v>
      </c>
      <c r="G214" s="48">
        <v>6.3916180000000003E-2</v>
      </c>
      <c r="H214" s="48">
        <v>0</v>
      </c>
      <c r="I214" s="48">
        <v>9.5960500000000004E-2</v>
      </c>
      <c r="J214" s="48">
        <v>0</v>
      </c>
    </row>
    <row r="215" spans="1:10" x14ac:dyDescent="0.25">
      <c r="A215" s="434" t="s">
        <v>34</v>
      </c>
      <c r="B215" s="48">
        <v>0</v>
      </c>
      <c r="C215" s="48">
        <v>0</v>
      </c>
      <c r="D215" s="48">
        <v>0</v>
      </c>
      <c r="E215" s="48">
        <v>0.56811369999999994</v>
      </c>
      <c r="F215" s="48">
        <v>0</v>
      </c>
      <c r="G215" s="48">
        <v>4.9444399999999999E-2</v>
      </c>
      <c r="H215" s="48">
        <v>0</v>
      </c>
      <c r="I215" s="48">
        <v>0</v>
      </c>
      <c r="J215" s="48">
        <v>0</v>
      </c>
    </row>
    <row r="216" spans="1:10" x14ac:dyDescent="0.25">
      <c r="A216" s="434" t="s">
        <v>63</v>
      </c>
      <c r="B216" s="48">
        <v>0</v>
      </c>
      <c r="C216" s="48">
        <v>0</v>
      </c>
      <c r="D216" s="48">
        <v>0</v>
      </c>
      <c r="E216" s="48">
        <v>14.458306179999999</v>
      </c>
      <c r="F216" s="48">
        <v>0</v>
      </c>
      <c r="G216" s="48">
        <v>3.09766E-2</v>
      </c>
      <c r="H216" s="48">
        <v>0</v>
      </c>
      <c r="I216" s="48">
        <v>3.0322029100000001</v>
      </c>
      <c r="J216" s="48">
        <v>0</v>
      </c>
    </row>
    <row r="217" spans="1:10" x14ac:dyDescent="0.25">
      <c r="A217" s="434" t="s">
        <v>33</v>
      </c>
      <c r="B217" s="48">
        <v>0</v>
      </c>
      <c r="C217" s="48">
        <v>0</v>
      </c>
      <c r="D217" s="48">
        <v>0</v>
      </c>
      <c r="E217" s="48">
        <v>1.68812495</v>
      </c>
      <c r="F217" s="48">
        <v>0</v>
      </c>
      <c r="G217" s="48">
        <v>2.8423630000000002E-2</v>
      </c>
      <c r="H217" s="48">
        <v>0</v>
      </c>
      <c r="I217" s="48">
        <v>0</v>
      </c>
      <c r="J217" s="48">
        <v>0</v>
      </c>
    </row>
    <row r="218" spans="1:10" x14ac:dyDescent="0.25">
      <c r="A218" s="434" t="s">
        <v>42</v>
      </c>
      <c r="B218" s="48">
        <v>0</v>
      </c>
      <c r="C218" s="48">
        <v>0</v>
      </c>
      <c r="D218" s="48">
        <v>0</v>
      </c>
      <c r="E218" s="48">
        <v>0.34970982</v>
      </c>
      <c r="F218" s="48">
        <v>0</v>
      </c>
      <c r="G218" s="48">
        <v>1.4920879999999999E-2</v>
      </c>
      <c r="H218" s="48">
        <v>0</v>
      </c>
      <c r="I218" s="48">
        <v>0</v>
      </c>
      <c r="J218" s="48">
        <v>0</v>
      </c>
    </row>
    <row r="219" spans="1:10" x14ac:dyDescent="0.25">
      <c r="A219" s="434" t="s">
        <v>37</v>
      </c>
      <c r="B219" s="48">
        <v>0</v>
      </c>
      <c r="C219" s="48">
        <v>0</v>
      </c>
      <c r="D219" s="48">
        <v>0</v>
      </c>
      <c r="E219" s="48">
        <v>0.34741263999999999</v>
      </c>
      <c r="F219" s="48">
        <v>0</v>
      </c>
      <c r="G219" s="48">
        <v>1.399481E-2</v>
      </c>
      <c r="H219" s="48">
        <v>0</v>
      </c>
      <c r="I219" s="48">
        <v>0</v>
      </c>
      <c r="J219" s="48">
        <v>0</v>
      </c>
    </row>
    <row r="220" spans="1:10" x14ac:dyDescent="0.25">
      <c r="A220" s="434" t="s">
        <v>44</v>
      </c>
      <c r="B220" s="48">
        <v>0</v>
      </c>
      <c r="C220" s="48">
        <v>0</v>
      </c>
      <c r="D220" s="48">
        <v>0</v>
      </c>
      <c r="E220" s="48">
        <v>1.25313878</v>
      </c>
      <c r="F220" s="48">
        <v>0</v>
      </c>
      <c r="G220" s="48">
        <v>1.3332159999999999E-2</v>
      </c>
      <c r="H220" s="48">
        <v>0</v>
      </c>
      <c r="I220" s="48">
        <v>0</v>
      </c>
      <c r="J220" s="48">
        <v>0</v>
      </c>
    </row>
    <row r="221" spans="1:10" x14ac:dyDescent="0.25">
      <c r="A221" s="434" t="s">
        <v>139</v>
      </c>
      <c r="B221" s="48">
        <v>0</v>
      </c>
      <c r="C221" s="48">
        <v>0</v>
      </c>
      <c r="D221" s="48">
        <v>0</v>
      </c>
      <c r="E221" s="48">
        <v>0.43526069000000001</v>
      </c>
      <c r="F221" s="48">
        <v>0</v>
      </c>
      <c r="G221" s="48">
        <v>1.168015E-2</v>
      </c>
      <c r="H221" s="48">
        <v>0</v>
      </c>
      <c r="I221" s="48">
        <v>5.436817E-2</v>
      </c>
      <c r="J221" s="48">
        <v>0</v>
      </c>
    </row>
    <row r="222" spans="1:10" x14ac:dyDescent="0.25">
      <c r="A222" s="434" t="s">
        <v>386</v>
      </c>
      <c r="B222" s="48">
        <v>0</v>
      </c>
      <c r="C222" s="48">
        <v>0</v>
      </c>
      <c r="D222" s="48">
        <v>9.5040699999999999E-3</v>
      </c>
      <c r="E222" s="48">
        <v>2.7728740299999997</v>
      </c>
      <c r="F222" s="48">
        <v>0</v>
      </c>
      <c r="G222" s="48">
        <v>9.5040699999999999E-3</v>
      </c>
      <c r="H222" s="48">
        <v>0</v>
      </c>
      <c r="I222" s="48">
        <v>0</v>
      </c>
      <c r="J222" s="48">
        <v>0</v>
      </c>
    </row>
    <row r="223" spans="1:10" x14ac:dyDescent="0.25">
      <c r="A223" s="434" t="s">
        <v>375</v>
      </c>
      <c r="B223" s="48">
        <v>0</v>
      </c>
      <c r="C223" s="48">
        <v>0</v>
      </c>
      <c r="D223" s="48">
        <v>0</v>
      </c>
      <c r="E223" s="48">
        <v>3.4261440000000004E-2</v>
      </c>
      <c r="F223" s="48">
        <v>0</v>
      </c>
      <c r="G223" s="48">
        <v>9.4486100000000014E-3</v>
      </c>
      <c r="H223" s="48">
        <v>0</v>
      </c>
      <c r="I223" s="48">
        <v>0</v>
      </c>
      <c r="J223" s="48">
        <v>0</v>
      </c>
    </row>
    <row r="224" spans="1:10" x14ac:dyDescent="0.25">
      <c r="A224" s="434" t="s">
        <v>65</v>
      </c>
      <c r="B224" s="48">
        <v>0</v>
      </c>
      <c r="C224" s="48">
        <v>0</v>
      </c>
      <c r="D224" s="48">
        <v>0</v>
      </c>
      <c r="E224" s="48">
        <v>0</v>
      </c>
      <c r="F224" s="48">
        <v>0</v>
      </c>
      <c r="G224" s="48">
        <v>5.9846999999999999E-3</v>
      </c>
      <c r="H224" s="48">
        <v>0</v>
      </c>
      <c r="I224" s="48">
        <v>0</v>
      </c>
      <c r="J224" s="48">
        <v>0</v>
      </c>
    </row>
    <row r="225" spans="1:10" x14ac:dyDescent="0.25">
      <c r="A225" s="434" t="s">
        <v>97</v>
      </c>
      <c r="B225" s="48">
        <v>0</v>
      </c>
      <c r="C225" s="48">
        <v>0</v>
      </c>
      <c r="D225" s="48">
        <v>0</v>
      </c>
      <c r="E225" s="48">
        <v>3.3605935200000001</v>
      </c>
      <c r="F225" s="48">
        <v>0</v>
      </c>
      <c r="G225" s="48">
        <v>5.3455600000000001E-3</v>
      </c>
      <c r="H225" s="48">
        <v>0</v>
      </c>
      <c r="I225" s="48">
        <v>0</v>
      </c>
      <c r="J225" s="48">
        <v>0</v>
      </c>
    </row>
    <row r="226" spans="1:10" x14ac:dyDescent="0.25">
      <c r="A226" s="434" t="s">
        <v>385</v>
      </c>
      <c r="B226" s="48">
        <v>0</v>
      </c>
      <c r="C226" s="48">
        <v>0</v>
      </c>
      <c r="D226" s="48">
        <v>0</v>
      </c>
      <c r="E226" s="48">
        <v>0</v>
      </c>
      <c r="F226" s="48">
        <v>0</v>
      </c>
      <c r="G226" s="48">
        <v>5.2608000000000004E-3</v>
      </c>
      <c r="H226" s="48">
        <v>0</v>
      </c>
      <c r="I226" s="48">
        <v>0</v>
      </c>
      <c r="J226" s="48">
        <v>0</v>
      </c>
    </row>
    <row r="227" spans="1:10" x14ac:dyDescent="0.25">
      <c r="A227" s="434" t="s">
        <v>64</v>
      </c>
      <c r="B227" s="48">
        <v>0</v>
      </c>
      <c r="C227" s="48">
        <v>0</v>
      </c>
      <c r="D227" s="48">
        <v>0</v>
      </c>
      <c r="E227" s="48">
        <v>10.43426086</v>
      </c>
      <c r="F227" s="48">
        <v>7.9755299999999998E-3</v>
      </c>
      <c r="G227" s="48">
        <v>2.8963299999999999E-3</v>
      </c>
      <c r="H227" s="48">
        <v>0</v>
      </c>
      <c r="I227" s="48">
        <v>7.9755299999999998E-3</v>
      </c>
      <c r="J227" s="48">
        <v>0</v>
      </c>
    </row>
    <row r="228" spans="1:10" x14ac:dyDescent="0.25">
      <c r="A228" s="434" t="s">
        <v>32</v>
      </c>
      <c r="B228" s="48">
        <v>0</v>
      </c>
      <c r="C228" s="48">
        <v>0</v>
      </c>
      <c r="D228" s="48">
        <v>0</v>
      </c>
      <c r="E228" s="48">
        <v>0</v>
      </c>
      <c r="F228" s="48">
        <v>0</v>
      </c>
      <c r="G228" s="48">
        <v>2.4664499999999998E-3</v>
      </c>
      <c r="H228" s="48">
        <v>0</v>
      </c>
      <c r="I228" s="48">
        <v>0</v>
      </c>
      <c r="J228" s="48">
        <v>0</v>
      </c>
    </row>
    <row r="229" spans="1:10" x14ac:dyDescent="0.25">
      <c r="A229" s="434" t="s">
        <v>370</v>
      </c>
      <c r="B229" s="48">
        <v>0</v>
      </c>
      <c r="C229" s="48">
        <v>0</v>
      </c>
      <c r="D229" s="48">
        <v>0</v>
      </c>
      <c r="E229" s="48">
        <v>2.0077100000000002E-3</v>
      </c>
      <c r="F229" s="48">
        <v>0</v>
      </c>
      <c r="G229" s="48">
        <v>2.39039E-3</v>
      </c>
      <c r="H229" s="48">
        <v>0</v>
      </c>
      <c r="I229" s="48">
        <v>0</v>
      </c>
      <c r="J229" s="48">
        <v>0</v>
      </c>
    </row>
    <row r="230" spans="1:10" x14ac:dyDescent="0.25">
      <c r="A230" s="434" t="s">
        <v>356</v>
      </c>
      <c r="B230" s="48">
        <v>0</v>
      </c>
      <c r="C230" s="48">
        <v>0</v>
      </c>
      <c r="D230" s="48">
        <v>0</v>
      </c>
      <c r="E230" s="48">
        <v>4.5647967999999999</v>
      </c>
      <c r="F230" s="48">
        <v>0</v>
      </c>
      <c r="G230" s="48">
        <v>2.0645500000000001E-3</v>
      </c>
      <c r="H230" s="48">
        <v>0</v>
      </c>
      <c r="I230" s="48">
        <v>0</v>
      </c>
      <c r="J230" s="48">
        <v>0</v>
      </c>
    </row>
    <row r="231" spans="1:10" x14ac:dyDescent="0.25">
      <c r="A231" s="434" t="s">
        <v>51</v>
      </c>
      <c r="B231" s="48">
        <v>0</v>
      </c>
      <c r="C231" s="48">
        <v>0</v>
      </c>
      <c r="D231" s="48">
        <v>0</v>
      </c>
      <c r="E231" s="48">
        <v>4.1906000000000002E-4</v>
      </c>
      <c r="F231" s="48">
        <v>0</v>
      </c>
      <c r="G231" s="48">
        <v>1.3281900000000001E-3</v>
      </c>
      <c r="H231" s="48">
        <v>0</v>
      </c>
      <c r="I231" s="48">
        <v>0</v>
      </c>
      <c r="J231" s="48">
        <v>0</v>
      </c>
    </row>
    <row r="232" spans="1:10" x14ac:dyDescent="0.25">
      <c r="A232" s="434" t="s">
        <v>373</v>
      </c>
      <c r="B232" s="48">
        <v>0</v>
      </c>
      <c r="C232" s="48">
        <v>0</v>
      </c>
      <c r="D232" s="48">
        <v>0</v>
      </c>
      <c r="E232" s="48">
        <v>2.8336277700000001</v>
      </c>
      <c r="F232" s="48">
        <v>0</v>
      </c>
      <c r="G232" s="48">
        <v>9.1876000000000002E-4</v>
      </c>
      <c r="H232" s="48">
        <v>0</v>
      </c>
      <c r="I232" s="48">
        <v>0</v>
      </c>
      <c r="J232" s="48">
        <v>0</v>
      </c>
    </row>
    <row r="233" spans="1:10" x14ac:dyDescent="0.25">
      <c r="A233" s="434" t="s">
        <v>55</v>
      </c>
      <c r="B233" s="48">
        <v>0</v>
      </c>
      <c r="C233" s="48">
        <v>0</v>
      </c>
      <c r="D233" s="48">
        <v>0</v>
      </c>
      <c r="E233" s="48">
        <v>0.25252059999999998</v>
      </c>
      <c r="F233" s="48">
        <v>0</v>
      </c>
      <c r="G233" s="48">
        <v>7.3071000000000008E-4</v>
      </c>
      <c r="H233" s="48">
        <v>0</v>
      </c>
      <c r="I233" s="48">
        <v>0</v>
      </c>
      <c r="J233" s="48">
        <v>0</v>
      </c>
    </row>
    <row r="234" spans="1:10" x14ac:dyDescent="0.25">
      <c r="A234" s="434" t="s">
        <v>402</v>
      </c>
      <c r="B234" s="48">
        <v>0</v>
      </c>
      <c r="C234" s="48">
        <v>0</v>
      </c>
      <c r="D234" s="48">
        <v>0</v>
      </c>
      <c r="E234" s="48">
        <v>0</v>
      </c>
      <c r="F234" s="48">
        <v>0</v>
      </c>
      <c r="G234" s="48">
        <v>2.5483999999999999E-4</v>
      </c>
      <c r="H234" s="48">
        <v>0</v>
      </c>
      <c r="I234" s="48">
        <v>0</v>
      </c>
      <c r="J234" s="48">
        <v>0</v>
      </c>
    </row>
    <row r="235" spans="1:10" x14ac:dyDescent="0.25">
      <c r="A235" s="434" t="s">
        <v>186</v>
      </c>
      <c r="B235" s="48">
        <v>0</v>
      </c>
      <c r="C235" s="48">
        <v>0</v>
      </c>
      <c r="D235" s="48">
        <v>0</v>
      </c>
      <c r="E235" s="48">
        <v>1.5378349</v>
      </c>
      <c r="F235" s="48">
        <v>0</v>
      </c>
      <c r="G235" s="48">
        <v>0</v>
      </c>
      <c r="H235" s="48">
        <v>0</v>
      </c>
      <c r="I235" s="48">
        <v>1.4440223799999998</v>
      </c>
      <c r="J235" s="48">
        <v>0</v>
      </c>
    </row>
    <row r="236" spans="1:10" x14ac:dyDescent="0.25">
      <c r="A236" s="434" t="s">
        <v>49</v>
      </c>
      <c r="B236" s="48">
        <v>0</v>
      </c>
      <c r="C236" s="48">
        <v>0</v>
      </c>
      <c r="D236" s="48">
        <v>0</v>
      </c>
      <c r="E236" s="48">
        <v>0</v>
      </c>
      <c r="F236" s="48">
        <v>0</v>
      </c>
      <c r="G236" s="48">
        <v>0</v>
      </c>
      <c r="H236" s="48">
        <v>0</v>
      </c>
      <c r="I236" s="48">
        <v>0.49706108000000004</v>
      </c>
      <c r="J236" s="48">
        <v>0</v>
      </c>
    </row>
    <row r="237" spans="1:10" x14ac:dyDescent="0.25">
      <c r="A237" s="434" t="s">
        <v>396</v>
      </c>
      <c r="B237" s="48">
        <v>0</v>
      </c>
      <c r="C237" s="48">
        <v>0</v>
      </c>
      <c r="D237" s="48">
        <v>0</v>
      </c>
      <c r="E237" s="48">
        <v>5.7677550000000001E-2</v>
      </c>
      <c r="F237" s="48">
        <v>0</v>
      </c>
      <c r="G237" s="48">
        <v>0</v>
      </c>
      <c r="H237" s="48">
        <v>0</v>
      </c>
      <c r="I237" s="48">
        <v>3.0662889999999998E-2</v>
      </c>
      <c r="J237" s="48">
        <v>0</v>
      </c>
    </row>
    <row r="238" spans="1:10" x14ac:dyDescent="0.25">
      <c r="A238" s="434" t="s">
        <v>40</v>
      </c>
      <c r="B238" s="48">
        <v>0</v>
      </c>
      <c r="C238" s="48">
        <v>0</v>
      </c>
      <c r="D238" s="48">
        <v>0</v>
      </c>
      <c r="E238" s="48">
        <v>0</v>
      </c>
      <c r="F238" s="48">
        <v>0</v>
      </c>
      <c r="G238" s="48">
        <v>0</v>
      </c>
      <c r="H238" s="48">
        <v>0</v>
      </c>
      <c r="I238" s="48">
        <v>1.3761999999999999E-3</v>
      </c>
      <c r="J238" s="48">
        <v>0</v>
      </c>
    </row>
    <row r="239" spans="1:10" x14ac:dyDescent="0.25">
      <c r="A239" s="434" t="s">
        <v>387</v>
      </c>
      <c r="B239" s="48">
        <v>0</v>
      </c>
      <c r="C239" s="48">
        <v>0</v>
      </c>
      <c r="D239" s="48">
        <v>0</v>
      </c>
      <c r="E239" s="48">
        <v>26.820407920000001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</row>
    <row r="240" spans="1:10" x14ac:dyDescent="0.25">
      <c r="A240" s="434" t="s">
        <v>372</v>
      </c>
      <c r="B240" s="48">
        <v>0</v>
      </c>
      <c r="C240" s="48">
        <v>0</v>
      </c>
      <c r="D240" s="48">
        <v>0</v>
      </c>
      <c r="E240" s="48">
        <v>1.8889041000000002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</row>
    <row r="241" spans="1:10" x14ac:dyDescent="0.25">
      <c r="A241" s="434" t="s">
        <v>350</v>
      </c>
      <c r="B241" s="48">
        <v>0</v>
      </c>
      <c r="C241" s="48">
        <v>0</v>
      </c>
      <c r="D241" s="48">
        <v>0</v>
      </c>
      <c r="E241" s="48">
        <v>0.25956456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</row>
    <row r="242" spans="1:10" x14ac:dyDescent="0.25">
      <c r="A242" s="434" t="s">
        <v>354</v>
      </c>
      <c r="B242" s="48">
        <v>0</v>
      </c>
      <c r="C242" s="48">
        <v>0</v>
      </c>
      <c r="D242" s="48">
        <v>0</v>
      </c>
      <c r="E242" s="48">
        <v>0.18775260000000002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</row>
    <row r="243" spans="1:10" x14ac:dyDescent="0.25">
      <c r="A243" s="434" t="s">
        <v>216</v>
      </c>
      <c r="B243" s="48">
        <v>0</v>
      </c>
      <c r="C243" s="48">
        <v>0</v>
      </c>
      <c r="D243" s="48">
        <v>0</v>
      </c>
      <c r="E243" s="48">
        <v>0.124803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</row>
    <row r="244" spans="1:10" x14ac:dyDescent="0.25">
      <c r="A244" s="434" t="s">
        <v>3</v>
      </c>
      <c r="B244" s="48">
        <v>0</v>
      </c>
      <c r="C244" s="48">
        <v>0</v>
      </c>
      <c r="D244" s="48">
        <v>0</v>
      </c>
      <c r="E244" s="48">
        <v>8.9243580000000003E-2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</row>
    <row r="245" spans="1:10" x14ac:dyDescent="0.25">
      <c r="A245" s="434" t="s">
        <v>1</v>
      </c>
      <c r="B245" s="48">
        <v>0</v>
      </c>
      <c r="C245" s="48">
        <v>0</v>
      </c>
      <c r="D245" s="48">
        <v>0</v>
      </c>
      <c r="E245" s="48">
        <v>8.076127000000001E-2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</row>
    <row r="246" spans="1:10" x14ac:dyDescent="0.25">
      <c r="A246" s="434" t="s">
        <v>46</v>
      </c>
      <c r="B246" s="48">
        <v>0</v>
      </c>
      <c r="C246" s="48">
        <v>0</v>
      </c>
      <c r="D246" s="48">
        <v>0</v>
      </c>
      <c r="E246" s="48">
        <v>8.0462130000000007E-2</v>
      </c>
      <c r="F246" s="48">
        <v>0</v>
      </c>
      <c r="G246" s="48">
        <v>0</v>
      </c>
      <c r="H246" s="48">
        <v>0</v>
      </c>
      <c r="I246" s="48">
        <v>0</v>
      </c>
      <c r="J246" s="48">
        <v>0</v>
      </c>
    </row>
    <row r="247" spans="1:10" x14ac:dyDescent="0.25">
      <c r="A247" s="434" t="s">
        <v>130</v>
      </c>
      <c r="B247" s="48">
        <v>0</v>
      </c>
      <c r="C247" s="48">
        <v>0</v>
      </c>
      <c r="D247" s="48">
        <v>0</v>
      </c>
      <c r="E247" s="48">
        <v>3.2717780000000002E-2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</row>
    <row r="248" spans="1:10" x14ac:dyDescent="0.25">
      <c r="A248" s="434" t="s">
        <v>61</v>
      </c>
      <c r="B248" s="48">
        <v>0</v>
      </c>
      <c r="C248" s="48">
        <v>0</v>
      </c>
      <c r="D248" s="48">
        <v>0</v>
      </c>
      <c r="E248" s="48">
        <v>3.0595490000000003E-2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</row>
    <row r="249" spans="1:10" x14ac:dyDescent="0.25">
      <c r="A249" s="434" t="s">
        <v>7</v>
      </c>
      <c r="B249" s="48">
        <v>0</v>
      </c>
      <c r="C249" s="48">
        <v>0</v>
      </c>
      <c r="D249" s="48">
        <v>0</v>
      </c>
      <c r="E249" s="48">
        <v>2.1148150000000001E-2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</row>
    <row r="250" spans="1:10" x14ac:dyDescent="0.25">
      <c r="A250" s="434" t="s">
        <v>366</v>
      </c>
      <c r="B250" s="48">
        <v>0</v>
      </c>
      <c r="C250" s="48">
        <v>0</v>
      </c>
      <c r="D250" s="48">
        <v>0</v>
      </c>
      <c r="E250" s="48">
        <v>1.36851E-2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</row>
    <row r="251" spans="1:10" x14ac:dyDescent="0.25">
      <c r="A251" s="434" t="s">
        <v>369</v>
      </c>
      <c r="B251" s="48">
        <v>0</v>
      </c>
      <c r="C251" s="48">
        <v>0</v>
      </c>
      <c r="D251" s="48">
        <v>0</v>
      </c>
      <c r="E251" s="48">
        <v>3.7704099999999996E-3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</row>
    <row r="252" spans="1:10" x14ac:dyDescent="0.25">
      <c r="A252" s="434" t="s">
        <v>355</v>
      </c>
      <c r="B252" s="48">
        <v>0</v>
      </c>
      <c r="C252" s="48">
        <v>0</v>
      </c>
      <c r="D252" s="48">
        <v>0</v>
      </c>
      <c r="E252" s="48">
        <v>2.8990500000000002E-3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</row>
    <row r="253" spans="1:10" x14ac:dyDescent="0.25">
      <c r="A253" s="433" t="s">
        <v>404</v>
      </c>
      <c r="B253" s="49">
        <v>0</v>
      </c>
      <c r="C253" s="49">
        <v>0</v>
      </c>
      <c r="D253" s="49">
        <v>0</v>
      </c>
      <c r="E253" s="49">
        <v>1.8345200000000001E-3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</row>
    <row r="254" spans="1:10" x14ac:dyDescent="0.25">
      <c r="A254" s="142" t="s">
        <v>217</v>
      </c>
      <c r="B254" s="143">
        <f>SUBTOTAL(109,Table1218[Column2])</f>
        <v>23.702676229999998</v>
      </c>
      <c r="C254" s="143">
        <f>SUBTOTAL(109,Table1218[Column3])</f>
        <v>939.26234102999979</v>
      </c>
      <c r="D254" s="143">
        <f>SUBTOTAL(109,Table1218[Column4])</f>
        <v>71.745181039999991</v>
      </c>
      <c r="E254" s="143">
        <f>SUBTOTAL(109,Table1218[Column5])</f>
        <v>5834.3729363100001</v>
      </c>
      <c r="F254" s="143">
        <f>SUBTOTAL(109,Table1218[Column6])</f>
        <v>52.005540740000001</v>
      </c>
      <c r="G254" s="143">
        <f>SUBTOTAL(109,Table1218[Column7])</f>
        <v>2685.3064103099991</v>
      </c>
      <c r="H254" s="143">
        <f>SUBTOTAL(109,Table1218[Column8])</f>
        <v>1869.35962608</v>
      </c>
      <c r="I254" s="143">
        <f>SUBTOTAL(109,Table1218[Column9])</f>
        <v>2699.7460300199991</v>
      </c>
      <c r="J254" s="143">
        <f>SUBTOTAL(109,Table1218[Column10])</f>
        <v>877.47744774000046</v>
      </c>
    </row>
    <row r="256" spans="1:10" x14ac:dyDescent="0.25">
      <c r="B256" s="171"/>
    </row>
  </sheetData>
  <mergeCells count="1">
    <mergeCell ref="L1:M1"/>
  </mergeCells>
  <hyperlinks>
    <hyperlink ref="L1" location="'Table of Content'!A1" display="Table of Content" xr:uid="{E27346E8-2D5E-4F73-9584-82AE55FA5310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85D3-5428-48B0-A681-F52B06C850BF}">
  <dimension ref="A1:N34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3.81640625" style="431" customWidth="1"/>
    <col min="2" max="2" width="12.453125" style="431" bestFit="1" customWidth="1"/>
    <col min="3" max="3" width="10.1796875" style="431" bestFit="1" customWidth="1"/>
    <col min="4" max="4" width="12.453125" style="431" bestFit="1" customWidth="1"/>
    <col min="5" max="5" width="10.1796875" style="431" bestFit="1" customWidth="1"/>
    <col min="6" max="6" width="12.453125" style="431" bestFit="1" customWidth="1"/>
    <col min="7" max="7" width="10.1796875" style="431" bestFit="1" customWidth="1"/>
    <col min="8" max="8" width="8.81640625" style="431" bestFit="1" customWidth="1"/>
    <col min="9" max="9" width="9.1796875" style="431" bestFit="1" customWidth="1"/>
    <col min="10" max="10" width="9.26953125" style="431" bestFit="1" customWidth="1"/>
    <col min="11" max="11" width="9.26953125" style="1" bestFit="1" customWidth="1"/>
    <col min="12" max="12" width="12.81640625" style="1" customWidth="1"/>
    <col min="13" max="16384" width="9.1796875" style="431"/>
  </cols>
  <sheetData>
    <row r="1" spans="1:14" ht="13" x14ac:dyDescent="0.3">
      <c r="A1" s="11" t="s">
        <v>395</v>
      </c>
      <c r="C1" s="1"/>
      <c r="D1" s="1"/>
      <c r="E1" s="1"/>
      <c r="F1" s="1"/>
      <c r="G1" s="1"/>
      <c r="K1" s="577" t="s">
        <v>239</v>
      </c>
      <c r="L1" s="577"/>
    </row>
    <row r="2" spans="1:14" s="432" customFormat="1" ht="14.5" customHeight="1" x14ac:dyDescent="0.3">
      <c r="A2" s="557" t="s">
        <v>394</v>
      </c>
      <c r="B2" s="560">
        <v>45597</v>
      </c>
      <c r="C2" s="560"/>
      <c r="D2" s="560">
        <v>45934</v>
      </c>
      <c r="E2" s="560"/>
      <c r="F2" s="560">
        <v>45962</v>
      </c>
      <c r="G2" s="560"/>
      <c r="H2" s="579" t="s">
        <v>241</v>
      </c>
      <c r="I2" s="579" t="s">
        <v>393</v>
      </c>
      <c r="M2" s="3"/>
    </row>
    <row r="3" spans="1:14" s="432" customFormat="1" ht="13" x14ac:dyDescent="0.3">
      <c r="A3" s="558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80"/>
      <c r="I3" s="580"/>
      <c r="M3" s="3"/>
    </row>
    <row r="4" spans="1:14" ht="13" x14ac:dyDescent="0.3">
      <c r="A4" s="95" t="s">
        <v>392</v>
      </c>
      <c r="B4" s="144">
        <v>5471.2592068100203</v>
      </c>
      <c r="C4" s="95">
        <f>(B4/$B$9)*100</f>
        <v>46.185630422246774</v>
      </c>
      <c r="D4" s="144">
        <v>7394.9970383800201</v>
      </c>
      <c r="E4" s="95">
        <f>(D4/$D$9)*100</f>
        <v>56.043098601111737</v>
      </c>
      <c r="F4" s="144">
        <v>3866.4300403800003</v>
      </c>
      <c r="G4" s="95">
        <f>(F4/$F$9)*100</f>
        <v>38.787469252448304</v>
      </c>
      <c r="H4" s="95">
        <f>((F4/D4)-1)*100</f>
        <v>-47.715597175857724</v>
      </c>
      <c r="I4" s="95">
        <f>((F4/B4)-1)*100</f>
        <v>-29.331989324002517</v>
      </c>
      <c r="K4" s="439"/>
      <c r="L4" s="96"/>
      <c r="M4" s="18"/>
      <c r="N4" s="96"/>
    </row>
    <row r="5" spans="1:14" ht="13" x14ac:dyDescent="0.3">
      <c r="A5" s="93" t="s">
        <v>390</v>
      </c>
      <c r="B5" s="145">
        <v>3521.45576901</v>
      </c>
      <c r="C5" s="93">
        <f>(B5/$B$9)*100</f>
        <v>29.726366188856034</v>
      </c>
      <c r="D5" s="145">
        <v>3305.64426512</v>
      </c>
      <c r="E5" s="93">
        <f>(D5/$D$9)*100</f>
        <v>25.051875819399012</v>
      </c>
      <c r="F5" s="145">
        <v>3453.3911403000002</v>
      </c>
      <c r="G5" s="93">
        <f>(F5/$F$9)*100</f>
        <v>34.643922500120794</v>
      </c>
      <c r="H5" s="93">
        <f>((F5/D5)-1)*100</f>
        <v>4.4695334201255044</v>
      </c>
      <c r="I5" s="93">
        <f>((F5/B5)-1)*100</f>
        <v>-1.9328548525013867</v>
      </c>
      <c r="K5" s="439"/>
      <c r="L5" s="96"/>
      <c r="M5" s="18"/>
      <c r="N5" s="96"/>
    </row>
    <row r="6" spans="1:14" ht="13" x14ac:dyDescent="0.3">
      <c r="A6" s="94" t="s">
        <v>391</v>
      </c>
      <c r="B6" s="146">
        <v>2853.5219528300099</v>
      </c>
      <c r="C6" s="94">
        <f>(B6/$B$9)*100</f>
        <v>24.088003388897192</v>
      </c>
      <c r="D6" s="146">
        <v>2494.5552915599901</v>
      </c>
      <c r="E6" s="94">
        <f>(D6/$D$9)*100</f>
        <v>18.905025579489255</v>
      </c>
      <c r="F6" s="146">
        <v>2648.4240152499901</v>
      </c>
      <c r="G6" s="94">
        <f>(F6/$F$9)*100</f>
        <v>26.568608247430902</v>
      </c>
      <c r="H6" s="94">
        <f>((F6/D6)-1)*100</f>
        <v>6.168182529791788</v>
      </c>
      <c r="I6" s="94">
        <f>((F6/B6)-1)*100</f>
        <v>-7.18753669922223</v>
      </c>
      <c r="K6" s="439"/>
      <c r="L6" s="96"/>
      <c r="M6" s="18"/>
      <c r="N6" s="96"/>
    </row>
    <row r="7" spans="1:14" x14ac:dyDescent="0.25">
      <c r="A7" s="93" t="s">
        <v>389</v>
      </c>
      <c r="B7" s="145">
        <v>0</v>
      </c>
      <c r="C7" s="93"/>
      <c r="D7" s="145">
        <v>0.129745</v>
      </c>
      <c r="E7" s="93"/>
      <c r="F7" s="145">
        <v>0.110667</v>
      </c>
      <c r="G7" s="93"/>
      <c r="H7" s="93"/>
      <c r="I7" s="93"/>
      <c r="K7" s="439"/>
      <c r="L7" s="431"/>
      <c r="M7" s="1"/>
    </row>
    <row r="8" spans="1:14" x14ac:dyDescent="0.25">
      <c r="A8" s="343" t="s">
        <v>939</v>
      </c>
      <c r="B8" s="344">
        <v>0</v>
      </c>
      <c r="C8" s="343"/>
      <c r="D8" s="344">
        <v>0.28938799999999998</v>
      </c>
      <c r="E8" s="343"/>
      <c r="F8" s="344">
        <v>0</v>
      </c>
      <c r="G8" s="343"/>
      <c r="H8" s="343"/>
      <c r="I8" s="343"/>
      <c r="K8" s="439"/>
      <c r="L8" s="431"/>
      <c r="M8" s="1"/>
    </row>
    <row r="9" spans="1:14" s="432" customFormat="1" ht="13" x14ac:dyDescent="0.3">
      <c r="A9" s="44" t="s">
        <v>217</v>
      </c>
      <c r="B9" s="92">
        <f t="shared" ref="B9:G9" si="0">SUM(B4:B6)</f>
        <v>11846.236928650031</v>
      </c>
      <c r="C9" s="92">
        <f t="shared" si="0"/>
        <v>100</v>
      </c>
      <c r="D9" s="92">
        <f t="shared" si="0"/>
        <v>13195.19659506001</v>
      </c>
      <c r="E9" s="92">
        <f t="shared" si="0"/>
        <v>100</v>
      </c>
      <c r="F9" s="44">
        <f t="shared" si="0"/>
        <v>9968.2451959299906</v>
      </c>
      <c r="G9" s="44">
        <f t="shared" si="0"/>
        <v>100</v>
      </c>
      <c r="H9" s="91">
        <f>((F9/D9)-1)*100</f>
        <v>-24.455500726212133</v>
      </c>
      <c r="I9" s="91">
        <f>((F9/B9)-1)*100</f>
        <v>-15.853065779717202</v>
      </c>
      <c r="K9" s="3"/>
      <c r="L9" s="3"/>
    </row>
    <row r="10" spans="1:14" x14ac:dyDescent="0.25">
      <c r="F10" s="438"/>
      <c r="G10" s="8"/>
      <c r="H10" s="8"/>
      <c r="I10" s="8"/>
    </row>
    <row r="11" spans="1:14" x14ac:dyDescent="0.25">
      <c r="G11" s="4"/>
      <c r="H11" s="8"/>
      <c r="I11" s="8"/>
    </row>
    <row r="12" spans="1:14" x14ac:dyDescent="0.25">
      <c r="G12" s="8"/>
      <c r="H12" s="8"/>
      <c r="I12" s="8"/>
    </row>
    <row r="14" spans="1:14" x14ac:dyDescent="0.25">
      <c r="K14" s="431"/>
      <c r="L14" s="431"/>
    </row>
    <row r="16" spans="1:14" x14ac:dyDescent="0.25">
      <c r="C16" s="437"/>
      <c r="K16" s="431"/>
      <c r="L16" s="431"/>
    </row>
    <row r="17" spans="1:12" x14ac:dyDescent="0.25">
      <c r="K17" s="431"/>
      <c r="L17" s="431"/>
    </row>
    <row r="18" spans="1:12" x14ac:dyDescent="0.25">
      <c r="E18" s="90"/>
      <c r="F18" s="1"/>
      <c r="G18" s="1"/>
      <c r="H18" s="563"/>
      <c r="I18" s="563"/>
      <c r="K18" s="431"/>
      <c r="L18" s="431"/>
    </row>
    <row r="19" spans="1:12" x14ac:dyDescent="0.25">
      <c r="F19" s="1"/>
      <c r="G19" s="1"/>
      <c r="H19" s="1"/>
      <c r="I19" s="1"/>
      <c r="K19" s="431"/>
      <c r="L19" s="431"/>
    </row>
    <row r="20" spans="1:12" x14ac:dyDescent="0.25">
      <c r="E20" s="8"/>
      <c r="F20" s="1"/>
      <c r="G20" s="71"/>
      <c r="H20" s="71"/>
      <c r="I20" s="71"/>
      <c r="K20" s="431"/>
      <c r="L20" s="431"/>
    </row>
    <row r="21" spans="1:12" x14ac:dyDescent="0.25">
      <c r="E21" s="8"/>
      <c r="F21" s="1"/>
      <c r="G21" s="71"/>
      <c r="H21" s="71"/>
      <c r="I21" s="71"/>
      <c r="K21" s="431"/>
      <c r="L21" s="431"/>
    </row>
    <row r="22" spans="1:12" x14ac:dyDescent="0.25">
      <c r="F22" s="1"/>
      <c r="G22" s="71"/>
      <c r="H22" s="71"/>
      <c r="I22" s="71"/>
      <c r="K22" s="431"/>
      <c r="L22" s="431"/>
    </row>
    <row r="23" spans="1:12" x14ac:dyDescent="0.25">
      <c r="F23" s="1"/>
      <c r="G23" s="71"/>
      <c r="H23" s="71"/>
      <c r="I23" s="71"/>
      <c r="K23" s="431"/>
      <c r="L23" s="431"/>
    </row>
    <row r="24" spans="1:12" x14ac:dyDescent="0.25">
      <c r="F24" s="1"/>
      <c r="G24" s="71"/>
      <c r="H24" s="71"/>
      <c r="I24" s="71"/>
      <c r="K24" s="431"/>
      <c r="L24" s="431"/>
    </row>
    <row r="25" spans="1:12" x14ac:dyDescent="0.25">
      <c r="F25" s="1"/>
      <c r="G25" s="71"/>
      <c r="H25" s="71"/>
      <c r="I25" s="71"/>
      <c r="K25" s="431"/>
      <c r="L25" s="431"/>
    </row>
    <row r="26" spans="1:12" x14ac:dyDescent="0.25">
      <c r="E26" s="71"/>
      <c r="F26" s="71"/>
      <c r="G26" s="71"/>
      <c r="K26" s="431"/>
      <c r="L26" s="431"/>
    </row>
    <row r="27" spans="1:12" x14ac:dyDescent="0.25">
      <c r="E27" s="71"/>
      <c r="F27" s="71"/>
      <c r="G27" s="71"/>
      <c r="K27" s="431"/>
      <c r="L27" s="431"/>
    </row>
    <row r="28" spans="1:12" x14ac:dyDescent="0.25">
      <c r="A28" s="1"/>
      <c r="B28" s="1"/>
      <c r="C28" s="1"/>
      <c r="D28" s="1"/>
      <c r="E28" s="71"/>
      <c r="F28" s="71"/>
      <c r="G28" s="71"/>
      <c r="K28" s="431"/>
      <c r="L28" s="431"/>
    </row>
    <row r="29" spans="1:12" x14ac:dyDescent="0.25">
      <c r="A29" s="1"/>
      <c r="B29" s="71"/>
      <c r="C29" s="71"/>
      <c r="D29" s="71"/>
      <c r="E29" s="71"/>
      <c r="F29" s="71"/>
      <c r="G29" s="71"/>
      <c r="K29" s="431"/>
      <c r="L29" s="431"/>
    </row>
    <row r="30" spans="1:12" x14ac:dyDescent="0.25">
      <c r="A30" s="1"/>
      <c r="B30" s="71"/>
      <c r="C30" s="71"/>
      <c r="D30" s="71"/>
      <c r="E30" s="71"/>
      <c r="F30" s="71"/>
      <c r="G30" s="71"/>
      <c r="K30" s="431"/>
      <c r="L30" s="431"/>
    </row>
    <row r="31" spans="1:12" x14ac:dyDescent="0.25">
      <c r="A31" s="1"/>
      <c r="B31" s="71"/>
      <c r="C31" s="71"/>
      <c r="D31" s="71"/>
      <c r="E31" s="71"/>
      <c r="F31" s="71"/>
      <c r="G31" s="71"/>
      <c r="K31" s="431"/>
      <c r="L31" s="431"/>
    </row>
    <row r="32" spans="1:12" x14ac:dyDescent="0.25">
      <c r="A32" s="1"/>
      <c r="B32" s="71"/>
      <c r="C32" s="71"/>
      <c r="D32" s="71"/>
      <c r="K32" s="431"/>
      <c r="L32" s="431"/>
    </row>
    <row r="33" spans="1:12" x14ac:dyDescent="0.25">
      <c r="A33" s="1"/>
      <c r="B33" s="71"/>
      <c r="C33" s="71"/>
      <c r="D33" s="71"/>
      <c r="K33" s="431"/>
      <c r="L33" s="431"/>
    </row>
    <row r="34" spans="1:12" x14ac:dyDescent="0.25">
      <c r="A34" s="1"/>
      <c r="B34" s="71"/>
      <c r="C34" s="71"/>
      <c r="D34" s="71"/>
      <c r="K34" s="431"/>
      <c r="L34" s="431"/>
    </row>
  </sheetData>
  <mergeCells count="8">
    <mergeCell ref="A2:A3"/>
    <mergeCell ref="H2:H3"/>
    <mergeCell ref="I2:I3"/>
    <mergeCell ref="K1:L1"/>
    <mergeCell ref="B2:C2"/>
    <mergeCell ref="H18:I18"/>
    <mergeCell ref="D2:E2"/>
    <mergeCell ref="F2:G2"/>
  </mergeCells>
  <hyperlinks>
    <hyperlink ref="K1" location="'Table of Content'!A1" display="Table of Content" xr:uid="{DDEA9F13-DA85-444B-BFAA-1A5B1F41A6E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4CDA-1F2B-45C0-A2A3-63A85644BF7D}">
  <dimension ref="A1:AG257"/>
  <sheetViews>
    <sheetView zoomScaleNormal="100" workbookViewId="0">
      <selection activeCell="P1" sqref="P1:Q1"/>
    </sheetView>
  </sheetViews>
  <sheetFormatPr defaultColWidth="8.81640625" defaultRowHeight="12.5" x14ac:dyDescent="0.25"/>
  <cols>
    <col min="1" max="1" width="21.453125" style="20" customWidth="1"/>
    <col min="2" max="5" width="8.81640625" style="20"/>
    <col min="6" max="6" width="20.7265625" style="20" customWidth="1"/>
    <col min="7" max="7" width="9.1796875" style="20" bestFit="1" customWidth="1"/>
    <col min="8" max="8" width="16.453125" style="20" bestFit="1" customWidth="1"/>
    <col min="9" max="9" width="9.1796875" style="20" bestFit="1" customWidth="1"/>
    <col min="10" max="10" width="8.81640625" style="20"/>
    <col min="11" max="11" width="27.36328125" style="20" customWidth="1"/>
    <col min="12" max="14" width="9.1796875" style="20" bestFit="1" customWidth="1"/>
    <col min="15" max="16" width="8.81640625" style="20"/>
    <col min="17" max="19" width="9.1796875" style="20" bestFit="1" customWidth="1"/>
    <col min="20" max="20" width="8.81640625" style="426"/>
    <col min="21" max="22" width="9.1796875" style="20" bestFit="1" customWidth="1"/>
    <col min="23" max="24" width="8.81640625" style="20"/>
    <col min="25" max="25" width="8.81640625" style="426"/>
    <col min="26" max="26" width="8.81640625" style="20"/>
    <col min="27" max="28" width="9.1796875" style="20" bestFit="1" customWidth="1"/>
    <col min="29" max="29" width="9.1796875" style="20" customWidth="1"/>
    <col min="30" max="30" width="8.81640625" style="426"/>
    <col min="31" max="31" width="8.90625" style="20" bestFit="1" customWidth="1"/>
    <col min="32" max="32" width="9.1796875" style="20" bestFit="1" customWidth="1"/>
    <col min="33" max="33" width="9.1796875" style="20" customWidth="1"/>
    <col min="34" max="34" width="9.1796875" style="20" bestFit="1" customWidth="1"/>
    <col min="35" max="35" width="8.81640625" style="20"/>
    <col min="36" max="38" width="8.90625" style="20" bestFit="1" customWidth="1"/>
    <col min="39" max="16384" width="8.81640625" style="20"/>
  </cols>
  <sheetData>
    <row r="1" spans="1:33" ht="13" x14ac:dyDescent="0.3">
      <c r="A1" s="586" t="s">
        <v>398</v>
      </c>
      <c r="B1" s="586"/>
      <c r="C1" s="586"/>
      <c r="D1" s="586"/>
      <c r="E1" s="586"/>
      <c r="F1" s="586"/>
      <c r="G1" s="586"/>
      <c r="P1" s="585" t="s">
        <v>239</v>
      </c>
      <c r="Q1" s="585"/>
    </row>
    <row r="2" spans="1:33" ht="13" x14ac:dyDescent="0.3">
      <c r="A2" s="539" t="s">
        <v>392</v>
      </c>
      <c r="B2" s="540"/>
      <c r="C2" s="540"/>
      <c r="D2" s="541"/>
      <c r="E2" s="101"/>
      <c r="F2" s="539" t="s">
        <v>390</v>
      </c>
      <c r="G2" s="540"/>
      <c r="H2" s="540"/>
      <c r="I2" s="541"/>
      <c r="J2" s="101"/>
      <c r="K2" s="587" t="s">
        <v>391</v>
      </c>
      <c r="L2" s="588"/>
      <c r="M2" s="588"/>
      <c r="N2" s="589"/>
      <c r="U2" s="35"/>
      <c r="V2" s="35"/>
      <c r="W2" s="35"/>
      <c r="X2" s="35"/>
      <c r="Z2" s="35"/>
      <c r="AA2" s="35"/>
      <c r="AB2" s="35"/>
      <c r="AC2" s="35"/>
      <c r="AE2" s="35"/>
      <c r="AF2" s="35"/>
      <c r="AG2" s="35"/>
    </row>
    <row r="3" spans="1:33" ht="13" x14ac:dyDescent="0.3">
      <c r="A3" s="26" t="s">
        <v>397</v>
      </c>
      <c r="B3" s="60">
        <v>2024</v>
      </c>
      <c r="C3" s="545">
        <v>2025</v>
      </c>
      <c r="D3" s="584"/>
      <c r="E3" s="101"/>
      <c r="F3" s="26" t="s">
        <v>397</v>
      </c>
      <c r="G3" s="60">
        <v>2024</v>
      </c>
      <c r="H3" s="539">
        <v>2025</v>
      </c>
      <c r="I3" s="541"/>
      <c r="J3" s="101"/>
      <c r="K3" s="26" t="s">
        <v>397</v>
      </c>
      <c r="L3" s="60">
        <v>2024</v>
      </c>
      <c r="M3" s="539">
        <v>2025</v>
      </c>
      <c r="N3" s="541"/>
      <c r="U3" s="35"/>
      <c r="V3" s="35"/>
      <c r="W3" s="35"/>
      <c r="X3" s="35"/>
      <c r="Z3" s="35"/>
      <c r="AA3" s="35"/>
      <c r="AB3" s="35"/>
      <c r="AC3" s="35"/>
      <c r="AE3" s="35"/>
      <c r="AF3" s="35"/>
      <c r="AG3" s="35"/>
    </row>
    <row r="4" spans="1:33" ht="14.5" customHeight="1" x14ac:dyDescent="0.3">
      <c r="A4" s="99" t="s">
        <v>220</v>
      </c>
      <c r="B4" s="98">
        <v>45597</v>
      </c>
      <c r="C4" s="98">
        <v>45931</v>
      </c>
      <c r="D4" s="98">
        <v>45962</v>
      </c>
      <c r="E4" s="100"/>
      <c r="F4" s="99" t="s">
        <v>220</v>
      </c>
      <c r="G4" s="98">
        <v>45597</v>
      </c>
      <c r="H4" s="98">
        <v>45931</v>
      </c>
      <c r="I4" s="98">
        <v>45962</v>
      </c>
      <c r="J4" s="100"/>
      <c r="K4" s="99" t="s">
        <v>220</v>
      </c>
      <c r="L4" s="98">
        <v>45597</v>
      </c>
      <c r="M4" s="98">
        <v>45931</v>
      </c>
      <c r="N4" s="98">
        <v>45962</v>
      </c>
      <c r="P4" s="11"/>
      <c r="Q4" s="11"/>
      <c r="U4" s="35"/>
      <c r="V4" s="35"/>
      <c r="W4" s="35"/>
      <c r="X4" s="35"/>
      <c r="Z4" s="35"/>
      <c r="AA4" s="35"/>
      <c r="AB4" s="35"/>
      <c r="AC4" s="35"/>
      <c r="AE4" s="35"/>
      <c r="AF4" s="35"/>
      <c r="AG4" s="35"/>
    </row>
    <row r="5" spans="1:33" s="11" customFormat="1" ht="13" x14ac:dyDescent="0.3">
      <c r="A5" s="429" t="s">
        <v>53</v>
      </c>
      <c r="B5" s="379">
        <v>2444.2434858699999</v>
      </c>
      <c r="C5" s="379">
        <v>4376.8426505299994</v>
      </c>
      <c r="D5" s="379">
        <v>1980.18059902</v>
      </c>
      <c r="E5" s="379"/>
      <c r="F5" s="429" t="s">
        <v>216</v>
      </c>
      <c r="G5" s="379">
        <v>1515.5115694400001</v>
      </c>
      <c r="H5" s="379">
        <v>2064.0709330999998</v>
      </c>
      <c r="I5" s="379">
        <v>2104.9002070000001</v>
      </c>
      <c r="J5" s="379"/>
      <c r="K5" s="429" t="s">
        <v>18</v>
      </c>
      <c r="L5" s="379">
        <v>387.55848166000004</v>
      </c>
      <c r="M5" s="379">
        <v>47.690162549999997</v>
      </c>
      <c r="N5" s="379">
        <v>387.95775099000002</v>
      </c>
      <c r="P5" s="20"/>
      <c r="T5" s="426"/>
      <c r="U5" s="35"/>
      <c r="V5" s="35"/>
      <c r="W5" s="35"/>
      <c r="X5" s="35"/>
      <c r="Y5" s="426"/>
      <c r="Z5" s="35"/>
      <c r="AA5" s="35"/>
      <c r="AB5" s="35"/>
      <c r="AC5" s="35"/>
      <c r="AD5" s="426"/>
      <c r="AE5" s="35"/>
      <c r="AF5" s="35"/>
      <c r="AG5" s="35"/>
    </row>
    <row r="6" spans="1:33" x14ac:dyDescent="0.25">
      <c r="A6" s="427" t="s">
        <v>54</v>
      </c>
      <c r="B6" s="25">
        <v>215.18386936000002</v>
      </c>
      <c r="C6" s="25">
        <v>123.87580659999999</v>
      </c>
      <c r="D6" s="25">
        <v>439.58399954999999</v>
      </c>
      <c r="E6" s="25"/>
      <c r="F6" s="427" t="s">
        <v>121</v>
      </c>
      <c r="G6" s="25">
        <v>1960.5131953</v>
      </c>
      <c r="H6" s="25">
        <v>1181.22811884</v>
      </c>
      <c r="I6" s="25">
        <v>1222.04621034</v>
      </c>
      <c r="J6" s="25"/>
      <c r="K6" s="427" t="s">
        <v>8</v>
      </c>
      <c r="L6" s="25">
        <v>308.37831825000001</v>
      </c>
      <c r="M6" s="25">
        <v>432.47392014999997</v>
      </c>
      <c r="N6" s="25">
        <v>382.93687719999997</v>
      </c>
      <c r="U6" s="35"/>
      <c r="V6" s="35"/>
      <c r="W6" s="35"/>
      <c r="X6" s="35"/>
      <c r="Z6" s="35"/>
      <c r="AA6" s="35"/>
      <c r="AB6" s="35"/>
      <c r="AC6" s="35"/>
      <c r="AE6" s="35"/>
      <c r="AF6" s="35"/>
      <c r="AG6" s="35"/>
    </row>
    <row r="7" spans="1:33" x14ac:dyDescent="0.25">
      <c r="A7" s="427" t="s">
        <v>52</v>
      </c>
      <c r="B7" s="25">
        <v>144.81879529</v>
      </c>
      <c r="C7" s="25">
        <v>424.36791168999997</v>
      </c>
      <c r="D7" s="25">
        <v>368.13993012000003</v>
      </c>
      <c r="E7" s="25"/>
      <c r="F7" s="427" t="s">
        <v>184</v>
      </c>
      <c r="G7" s="25">
        <v>0.80341006000000004</v>
      </c>
      <c r="H7" s="25">
        <v>0.51599371999999999</v>
      </c>
      <c r="I7" s="25">
        <v>60.357991770000005</v>
      </c>
      <c r="J7" s="25"/>
      <c r="K7" s="427" t="s">
        <v>62</v>
      </c>
      <c r="L7" s="25">
        <v>374.24596601000002</v>
      </c>
      <c r="M7" s="25">
        <v>406.61494682</v>
      </c>
      <c r="N7" s="25">
        <v>363.86053726</v>
      </c>
      <c r="U7" s="35"/>
      <c r="V7" s="35"/>
      <c r="W7" s="35"/>
      <c r="X7" s="35"/>
      <c r="Z7" s="35"/>
      <c r="AA7" s="35"/>
      <c r="AB7" s="35"/>
      <c r="AC7" s="35"/>
      <c r="AE7" s="35"/>
      <c r="AF7" s="35"/>
      <c r="AG7" s="35"/>
    </row>
    <row r="8" spans="1:33" x14ac:dyDescent="0.25">
      <c r="A8" s="427" t="s">
        <v>8</v>
      </c>
      <c r="B8" s="25">
        <v>263.67497918999999</v>
      </c>
      <c r="C8" s="25">
        <v>702.53701097999999</v>
      </c>
      <c r="D8" s="25">
        <v>355.35615622</v>
      </c>
      <c r="E8" s="25"/>
      <c r="F8" s="427" t="s">
        <v>10</v>
      </c>
      <c r="G8" s="25">
        <v>14.020357150000001</v>
      </c>
      <c r="H8" s="25">
        <v>4.2345689800000006</v>
      </c>
      <c r="I8" s="25">
        <v>15.83636578</v>
      </c>
      <c r="J8" s="25"/>
      <c r="K8" s="427" t="s">
        <v>30</v>
      </c>
      <c r="L8" s="25">
        <v>107.55389735999999</v>
      </c>
      <c r="M8" s="25">
        <v>113.65892679000001</v>
      </c>
      <c r="N8" s="25">
        <v>175.67804022999999</v>
      </c>
      <c r="U8" s="35"/>
      <c r="V8" s="35"/>
      <c r="W8" s="35"/>
      <c r="X8" s="35"/>
      <c r="Z8" s="35"/>
      <c r="AA8" s="35"/>
      <c r="AB8" s="35"/>
      <c r="AC8" s="35"/>
      <c r="AE8" s="35"/>
      <c r="AF8" s="35"/>
      <c r="AG8" s="35"/>
    </row>
    <row r="9" spans="1:33" x14ac:dyDescent="0.25">
      <c r="A9" s="427" t="s">
        <v>1</v>
      </c>
      <c r="B9" s="25">
        <v>87.409429319999987</v>
      </c>
      <c r="C9" s="25">
        <v>218.64431465000001</v>
      </c>
      <c r="D9" s="25">
        <v>220.67442456999999</v>
      </c>
      <c r="E9" s="25"/>
      <c r="F9" s="427" t="s">
        <v>211</v>
      </c>
      <c r="G9" s="25">
        <v>8.0248899999999992</v>
      </c>
      <c r="H9" s="25">
        <v>9.8448232600000001</v>
      </c>
      <c r="I9" s="25">
        <v>8.7794315300000001</v>
      </c>
      <c r="J9" s="25"/>
      <c r="K9" s="427" t="s">
        <v>85</v>
      </c>
      <c r="L9" s="25">
        <v>258.43673078</v>
      </c>
      <c r="M9" s="25">
        <v>207.37012891000001</v>
      </c>
      <c r="N9" s="25">
        <v>160.89652380999999</v>
      </c>
      <c r="U9" s="35"/>
      <c r="V9" s="35"/>
      <c r="W9" s="35"/>
      <c r="X9" s="35"/>
      <c r="Z9" s="35"/>
      <c r="AA9" s="35"/>
      <c r="AB9" s="35"/>
      <c r="AC9" s="35"/>
      <c r="AE9" s="35"/>
      <c r="AF9" s="35"/>
      <c r="AG9" s="35"/>
    </row>
    <row r="10" spans="1:33" x14ac:dyDescent="0.25">
      <c r="A10" s="427" t="s">
        <v>36</v>
      </c>
      <c r="B10" s="25">
        <v>104.46290411</v>
      </c>
      <c r="C10" s="25">
        <v>150.57965965</v>
      </c>
      <c r="D10" s="25">
        <v>87.20574615000001</v>
      </c>
      <c r="E10" s="25"/>
      <c r="F10" s="427" t="s">
        <v>151</v>
      </c>
      <c r="G10" s="25">
        <v>1.2343079999999999E-2</v>
      </c>
      <c r="H10" s="25">
        <v>2.7041093100000002</v>
      </c>
      <c r="I10" s="25">
        <v>6.6183349500000004</v>
      </c>
      <c r="J10" s="25"/>
      <c r="K10" s="427" t="s">
        <v>101</v>
      </c>
      <c r="L10" s="25">
        <v>130.64581201999999</v>
      </c>
      <c r="M10" s="25">
        <v>81.66687202</v>
      </c>
      <c r="N10" s="25">
        <v>115.76083738</v>
      </c>
      <c r="U10" s="35"/>
      <c r="V10" s="35"/>
      <c r="W10" s="35"/>
      <c r="X10" s="35"/>
      <c r="Z10" s="35"/>
      <c r="AA10" s="35"/>
      <c r="AB10" s="35"/>
      <c r="AC10" s="35"/>
      <c r="AE10" s="35"/>
      <c r="AF10" s="35"/>
      <c r="AG10" s="35"/>
    </row>
    <row r="11" spans="1:33" x14ac:dyDescent="0.25">
      <c r="A11" s="427" t="s">
        <v>18</v>
      </c>
      <c r="B11" s="25">
        <v>112.15992385</v>
      </c>
      <c r="C11" s="25">
        <v>0</v>
      </c>
      <c r="D11" s="25">
        <v>75.134720000000002</v>
      </c>
      <c r="E11" s="25"/>
      <c r="F11" s="427" t="s">
        <v>8</v>
      </c>
      <c r="G11" s="25">
        <v>1.84782818</v>
      </c>
      <c r="H11" s="25">
        <v>1.8383229999999999</v>
      </c>
      <c r="I11" s="25">
        <v>6.1405825999999992</v>
      </c>
      <c r="J11" s="25"/>
      <c r="K11" s="427" t="s">
        <v>46</v>
      </c>
      <c r="L11" s="25">
        <v>99.540029230000002</v>
      </c>
      <c r="M11" s="25">
        <v>116.96989664</v>
      </c>
      <c r="N11" s="25">
        <v>105.08126163</v>
      </c>
      <c r="U11" s="35"/>
      <c r="V11" s="35"/>
      <c r="W11" s="35"/>
      <c r="X11" s="35"/>
      <c r="Z11" s="35"/>
      <c r="AA11" s="35"/>
      <c r="AB11" s="35"/>
      <c r="AC11" s="35"/>
      <c r="AE11" s="35"/>
      <c r="AF11" s="35"/>
      <c r="AG11" s="35"/>
    </row>
    <row r="12" spans="1:33" x14ac:dyDescent="0.25">
      <c r="A12" s="427" t="s">
        <v>45</v>
      </c>
      <c r="B12" s="25">
        <v>53.915707750000003</v>
      </c>
      <c r="C12" s="25">
        <v>110.18194243000001</v>
      </c>
      <c r="D12" s="25">
        <v>60.95997646</v>
      </c>
      <c r="E12" s="25"/>
      <c r="F12" s="427" t="s">
        <v>200</v>
      </c>
      <c r="G12" s="25">
        <v>1.2906799199999999</v>
      </c>
      <c r="H12" s="25">
        <v>2.9988438799999999</v>
      </c>
      <c r="I12" s="25">
        <v>3.9990713700000002</v>
      </c>
      <c r="J12" s="25"/>
      <c r="K12" s="427" t="s">
        <v>96</v>
      </c>
      <c r="L12" s="25">
        <v>70.359824639999999</v>
      </c>
      <c r="M12" s="25">
        <v>116.18489052</v>
      </c>
      <c r="N12" s="25">
        <v>103.318613</v>
      </c>
      <c r="U12" s="35"/>
      <c r="V12" s="35"/>
      <c r="W12" s="35"/>
      <c r="X12" s="35"/>
      <c r="Z12" s="35"/>
      <c r="AA12" s="35"/>
      <c r="AB12" s="35"/>
      <c r="AC12" s="35"/>
      <c r="AE12" s="35"/>
      <c r="AF12" s="35"/>
      <c r="AG12" s="35"/>
    </row>
    <row r="13" spans="1:33" x14ac:dyDescent="0.25">
      <c r="A13" s="427" t="s">
        <v>10</v>
      </c>
      <c r="B13" s="25">
        <v>32.750369890000002</v>
      </c>
      <c r="C13" s="25">
        <v>48.040868619999998</v>
      </c>
      <c r="D13" s="25">
        <v>38.872803590000004</v>
      </c>
      <c r="E13" s="25"/>
      <c r="F13" s="427" t="s">
        <v>57</v>
      </c>
      <c r="G13" s="25">
        <v>2.0707408100000002</v>
      </c>
      <c r="H13" s="25">
        <v>1.8345191399999998</v>
      </c>
      <c r="I13" s="25">
        <v>2.05378485</v>
      </c>
      <c r="J13" s="25"/>
      <c r="K13" s="427" t="s">
        <v>0</v>
      </c>
      <c r="L13" s="25">
        <v>93.930153500000003</v>
      </c>
      <c r="M13" s="25">
        <v>86.982069069999994</v>
      </c>
      <c r="N13" s="25">
        <v>88.168211239999991</v>
      </c>
      <c r="U13" s="35"/>
      <c r="V13" s="35"/>
      <c r="W13" s="35"/>
      <c r="X13" s="35"/>
      <c r="Z13" s="35"/>
      <c r="AA13" s="35"/>
      <c r="AB13" s="35"/>
      <c r="AC13" s="35"/>
      <c r="AE13" s="35"/>
      <c r="AF13" s="35"/>
      <c r="AG13" s="35"/>
    </row>
    <row r="14" spans="1:33" x14ac:dyDescent="0.25">
      <c r="A14" s="427" t="s">
        <v>17</v>
      </c>
      <c r="B14" s="25">
        <v>17.346092649999999</v>
      </c>
      <c r="C14" s="25">
        <v>28.387801499999998</v>
      </c>
      <c r="D14" s="25">
        <v>37.180821549999997</v>
      </c>
      <c r="E14" s="25"/>
      <c r="F14" s="427" t="s">
        <v>99</v>
      </c>
      <c r="G14" s="25">
        <v>1.09893554</v>
      </c>
      <c r="H14" s="25">
        <v>1.8983232700000001</v>
      </c>
      <c r="I14" s="25">
        <v>1.9248800400000001</v>
      </c>
      <c r="J14" s="25"/>
      <c r="K14" s="427" t="s">
        <v>125</v>
      </c>
      <c r="L14" s="25">
        <v>8.7466277100000003</v>
      </c>
      <c r="M14" s="25">
        <v>70.601819129999996</v>
      </c>
      <c r="N14" s="25">
        <v>74.781877630000096</v>
      </c>
      <c r="U14" s="35"/>
      <c r="V14" s="35"/>
      <c r="W14" s="35"/>
      <c r="X14" s="35"/>
      <c r="Z14" s="35"/>
      <c r="AA14" s="35"/>
      <c r="AB14" s="35"/>
      <c r="AC14" s="35"/>
      <c r="AE14" s="35"/>
      <c r="AF14" s="35"/>
      <c r="AG14" s="35"/>
    </row>
    <row r="15" spans="1:33" x14ac:dyDescent="0.25">
      <c r="A15" s="427" t="s">
        <v>62</v>
      </c>
      <c r="B15" s="25">
        <v>24.300728719999999</v>
      </c>
      <c r="C15" s="25">
        <v>32.683589720000001</v>
      </c>
      <c r="D15" s="25">
        <v>27.612295750000001</v>
      </c>
      <c r="E15" s="25"/>
      <c r="F15" s="427" t="s">
        <v>359</v>
      </c>
      <c r="G15" s="25">
        <v>5.0000000000000001E-3</v>
      </c>
      <c r="H15" s="25">
        <v>5.1398100000000007E-3</v>
      </c>
      <c r="I15" s="25">
        <v>1.51096483</v>
      </c>
      <c r="J15" s="25"/>
      <c r="K15" s="427" t="s">
        <v>2</v>
      </c>
      <c r="L15" s="25">
        <v>25.614445480000001</v>
      </c>
      <c r="M15" s="25">
        <v>54.71727387</v>
      </c>
      <c r="N15" s="25">
        <v>52.496983270000001</v>
      </c>
      <c r="U15" s="35"/>
      <c r="V15" s="35"/>
      <c r="W15" s="35"/>
      <c r="X15" s="35"/>
      <c r="Z15" s="35"/>
      <c r="AA15" s="35"/>
      <c r="AB15" s="35"/>
      <c r="AC15" s="35"/>
      <c r="AE15" s="35"/>
      <c r="AF15" s="35"/>
      <c r="AG15" s="35"/>
    </row>
    <row r="16" spans="1:33" x14ac:dyDescent="0.25">
      <c r="A16" s="427" t="s">
        <v>115</v>
      </c>
      <c r="B16" s="25">
        <v>30.7697216</v>
      </c>
      <c r="C16" s="25">
        <v>28.369132899999997</v>
      </c>
      <c r="D16" s="25">
        <v>24.384177999999999</v>
      </c>
      <c r="E16" s="25"/>
      <c r="F16" s="427" t="s">
        <v>202</v>
      </c>
      <c r="G16" s="25">
        <v>1.85369491</v>
      </c>
      <c r="H16" s="25">
        <v>2.8496205099999998</v>
      </c>
      <c r="I16" s="25">
        <v>1.4989891200000001</v>
      </c>
      <c r="J16" s="25"/>
      <c r="K16" s="427" t="s">
        <v>11</v>
      </c>
      <c r="L16" s="25">
        <v>9.1903097200000001</v>
      </c>
      <c r="M16" s="25">
        <v>49.952673500000003</v>
      </c>
      <c r="N16" s="25">
        <v>49.075010319999997</v>
      </c>
      <c r="U16" s="35"/>
      <c r="V16" s="35"/>
      <c r="W16" s="35"/>
      <c r="X16" s="35"/>
      <c r="Z16" s="35"/>
      <c r="AA16" s="35"/>
      <c r="AB16" s="35"/>
      <c r="AC16" s="35"/>
      <c r="AE16" s="35"/>
      <c r="AF16" s="35"/>
      <c r="AG16" s="35"/>
    </row>
    <row r="17" spans="1:33" x14ac:dyDescent="0.25">
      <c r="A17" s="427" t="s">
        <v>48</v>
      </c>
      <c r="B17" s="25">
        <v>39.367496520000003</v>
      </c>
      <c r="C17" s="25">
        <v>66.148548390000002</v>
      </c>
      <c r="D17" s="25">
        <v>21.566864710000001</v>
      </c>
      <c r="E17" s="25"/>
      <c r="F17" s="427" t="s">
        <v>81</v>
      </c>
      <c r="G17" s="25">
        <v>0.44113469</v>
      </c>
      <c r="H17" s="25">
        <v>0.40231702000000003</v>
      </c>
      <c r="I17" s="25">
        <v>1.4138046000000002</v>
      </c>
      <c r="J17" s="25"/>
      <c r="K17" s="427" t="s">
        <v>28</v>
      </c>
      <c r="L17" s="25">
        <v>57.888784950000002</v>
      </c>
      <c r="M17" s="25">
        <v>38.015881690000001</v>
      </c>
      <c r="N17" s="25">
        <v>44.679994869999994</v>
      </c>
      <c r="U17" s="35"/>
      <c r="V17" s="35"/>
      <c r="W17" s="35"/>
      <c r="X17" s="35"/>
      <c r="Z17" s="35"/>
      <c r="AA17" s="35"/>
      <c r="AB17" s="35"/>
      <c r="AC17" s="35"/>
      <c r="AE17" s="35"/>
      <c r="AF17" s="35"/>
      <c r="AG17" s="35"/>
    </row>
    <row r="18" spans="1:33" x14ac:dyDescent="0.25">
      <c r="A18" s="427" t="s">
        <v>50</v>
      </c>
      <c r="B18" s="25">
        <v>22.252864070000001</v>
      </c>
      <c r="C18" s="25">
        <v>31.539571469999998</v>
      </c>
      <c r="D18" s="25">
        <v>19.10300814</v>
      </c>
      <c r="E18" s="25"/>
      <c r="F18" s="427" t="s">
        <v>97</v>
      </c>
      <c r="G18" s="25">
        <v>1.21728075</v>
      </c>
      <c r="H18" s="25">
        <v>0.70174581000000003</v>
      </c>
      <c r="I18" s="25">
        <v>1.23619138</v>
      </c>
      <c r="J18" s="25"/>
      <c r="K18" s="427" t="s">
        <v>151</v>
      </c>
      <c r="L18" s="25">
        <v>56.416075409999998</v>
      </c>
      <c r="M18" s="25">
        <v>5.5929258200000005</v>
      </c>
      <c r="N18" s="25">
        <v>41.663857360000002</v>
      </c>
      <c r="U18" s="35"/>
      <c r="V18" s="35"/>
      <c r="W18" s="35"/>
      <c r="X18" s="35"/>
      <c r="Z18" s="35"/>
      <c r="AA18" s="35"/>
      <c r="AB18" s="35"/>
      <c r="AC18" s="35"/>
      <c r="AE18" s="35"/>
      <c r="AF18" s="35"/>
      <c r="AG18" s="35"/>
    </row>
    <row r="19" spans="1:33" x14ac:dyDescent="0.25">
      <c r="A19" s="427" t="s">
        <v>27</v>
      </c>
      <c r="B19" s="25">
        <v>6.2692555599999995</v>
      </c>
      <c r="C19" s="25">
        <v>18.58697411</v>
      </c>
      <c r="D19" s="25">
        <v>13.604861869999999</v>
      </c>
      <c r="E19" s="25"/>
      <c r="F19" s="427" t="s">
        <v>158</v>
      </c>
      <c r="G19" s="25">
        <v>1.5311799999999999E-2</v>
      </c>
      <c r="H19" s="25">
        <v>0.27543405999999998</v>
      </c>
      <c r="I19" s="25">
        <v>1.1558373500000001</v>
      </c>
      <c r="J19" s="25"/>
      <c r="K19" s="427" t="s">
        <v>36</v>
      </c>
      <c r="L19" s="25">
        <v>27.216669879999998</v>
      </c>
      <c r="M19" s="25">
        <v>33.157885039999996</v>
      </c>
      <c r="N19" s="25">
        <v>34.033290799999996</v>
      </c>
      <c r="U19" s="35"/>
      <c r="V19" s="35"/>
      <c r="W19" s="35"/>
      <c r="X19" s="35"/>
      <c r="Z19" s="35"/>
      <c r="AA19" s="35"/>
      <c r="AB19" s="35"/>
      <c r="AC19" s="35"/>
      <c r="AE19" s="35"/>
      <c r="AF19" s="35"/>
      <c r="AG19" s="35"/>
    </row>
    <row r="20" spans="1:33" x14ac:dyDescent="0.25">
      <c r="A20" s="427" t="s">
        <v>215</v>
      </c>
      <c r="B20" s="25">
        <v>8.6583293800000014</v>
      </c>
      <c r="C20" s="25">
        <v>15.262500920000001</v>
      </c>
      <c r="D20" s="25">
        <v>11.6446434</v>
      </c>
      <c r="E20" s="25"/>
      <c r="F20" s="427" t="s">
        <v>214</v>
      </c>
      <c r="G20" s="25">
        <v>0.30648245000000002</v>
      </c>
      <c r="H20" s="25">
        <v>0.94360462000000001</v>
      </c>
      <c r="I20" s="25">
        <v>1.1426616000000001</v>
      </c>
      <c r="J20" s="25"/>
      <c r="K20" s="427" t="s">
        <v>177</v>
      </c>
      <c r="L20" s="25">
        <v>29.574102920000001</v>
      </c>
      <c r="M20" s="25">
        <v>43.507622549999994</v>
      </c>
      <c r="N20" s="25">
        <v>33.893839049999997</v>
      </c>
      <c r="U20" s="35"/>
      <c r="V20" s="35"/>
      <c r="W20" s="35"/>
      <c r="X20" s="35"/>
      <c r="Z20" s="35"/>
      <c r="AA20" s="35"/>
      <c r="AB20" s="35"/>
      <c r="AC20" s="35"/>
      <c r="AE20" s="35"/>
      <c r="AF20" s="35"/>
      <c r="AG20" s="35"/>
    </row>
    <row r="21" spans="1:33" x14ac:dyDescent="0.25">
      <c r="A21" s="427" t="s">
        <v>38</v>
      </c>
      <c r="B21" s="25">
        <v>1.27610826</v>
      </c>
      <c r="C21" s="25">
        <v>12.520654179999999</v>
      </c>
      <c r="D21" s="25">
        <v>10.55059355</v>
      </c>
      <c r="E21" s="25"/>
      <c r="F21" s="427" t="s">
        <v>2</v>
      </c>
      <c r="G21" s="25">
        <v>0</v>
      </c>
      <c r="H21" s="25">
        <v>1.2057716200000002</v>
      </c>
      <c r="I21" s="25">
        <v>1.1016368799999998</v>
      </c>
      <c r="J21" s="25"/>
      <c r="K21" s="427" t="s">
        <v>146</v>
      </c>
      <c r="L21" s="25">
        <v>8.0939799299999997</v>
      </c>
      <c r="M21" s="25">
        <v>3.42073369</v>
      </c>
      <c r="N21" s="25">
        <v>31.088883210000002</v>
      </c>
      <c r="U21" s="35"/>
      <c r="V21" s="35"/>
      <c r="W21" s="35"/>
      <c r="X21" s="35"/>
      <c r="Z21" s="35"/>
      <c r="AA21" s="35"/>
      <c r="AB21" s="35"/>
      <c r="AC21" s="35"/>
      <c r="AE21" s="35"/>
      <c r="AF21" s="35"/>
      <c r="AG21" s="35"/>
    </row>
    <row r="22" spans="1:33" x14ac:dyDescent="0.25">
      <c r="A22" s="427" t="s">
        <v>102</v>
      </c>
      <c r="B22" s="25">
        <v>0.14601119000000001</v>
      </c>
      <c r="C22" s="25">
        <v>0.32726203999999998</v>
      </c>
      <c r="D22" s="25">
        <v>9.2537309900000011</v>
      </c>
      <c r="E22" s="25"/>
      <c r="F22" s="427" t="s">
        <v>11</v>
      </c>
      <c r="G22" s="25">
        <v>0.31556000000000001</v>
      </c>
      <c r="H22" s="25">
        <v>1.03565</v>
      </c>
      <c r="I22" s="25">
        <v>1.0199809499999999</v>
      </c>
      <c r="J22" s="25"/>
      <c r="K22" s="427" t="s">
        <v>138</v>
      </c>
      <c r="L22" s="25">
        <v>118.11275829</v>
      </c>
      <c r="M22" s="25">
        <v>16.047080099999999</v>
      </c>
      <c r="N22" s="25">
        <v>30.29288712</v>
      </c>
      <c r="U22" s="35"/>
      <c r="V22" s="35"/>
      <c r="W22" s="35"/>
      <c r="X22" s="35"/>
      <c r="Z22" s="35"/>
      <c r="AA22" s="35"/>
      <c r="AB22" s="35"/>
      <c r="AC22" s="35"/>
      <c r="AE22" s="35"/>
      <c r="AF22" s="35"/>
      <c r="AG22" s="35"/>
    </row>
    <row r="23" spans="1:33" x14ac:dyDescent="0.25">
      <c r="A23" s="427" t="s">
        <v>140</v>
      </c>
      <c r="B23" s="25">
        <v>0.9</v>
      </c>
      <c r="C23" s="25">
        <v>3.2648290699999998</v>
      </c>
      <c r="D23" s="25">
        <v>6.7657929499999998</v>
      </c>
      <c r="E23" s="25"/>
      <c r="F23" s="427" t="s">
        <v>32</v>
      </c>
      <c r="G23" s="25">
        <v>1.3916444800000001</v>
      </c>
      <c r="H23" s="25">
        <v>0.95478189000000002</v>
      </c>
      <c r="I23" s="25">
        <v>0.93172281000000001</v>
      </c>
      <c r="J23" s="25"/>
      <c r="K23" s="427" t="s">
        <v>55</v>
      </c>
      <c r="L23" s="25">
        <v>28.36996959</v>
      </c>
      <c r="M23" s="25">
        <v>32.782533919999999</v>
      </c>
      <c r="N23" s="25">
        <v>30.11445762</v>
      </c>
      <c r="U23" s="35"/>
      <c r="V23" s="35"/>
      <c r="W23" s="35"/>
      <c r="X23" s="35"/>
      <c r="Z23" s="35"/>
      <c r="AA23" s="35"/>
      <c r="AB23" s="35"/>
      <c r="AC23" s="35"/>
      <c r="AE23" s="35"/>
      <c r="AF23" s="35"/>
      <c r="AG23" s="35"/>
    </row>
    <row r="24" spans="1:33" x14ac:dyDescent="0.25">
      <c r="A24" s="427" t="s">
        <v>121</v>
      </c>
      <c r="B24" s="25">
        <v>2.5666774599999997</v>
      </c>
      <c r="C24" s="25">
        <v>4.02101372</v>
      </c>
      <c r="D24" s="25">
        <v>5.4008632699999994</v>
      </c>
      <c r="E24" s="25"/>
      <c r="F24" s="427" t="s">
        <v>48</v>
      </c>
      <c r="G24" s="25">
        <v>1.2880933700000001</v>
      </c>
      <c r="H24" s="25">
        <v>1.3290498799999999</v>
      </c>
      <c r="I24" s="25">
        <v>0.93153536000000003</v>
      </c>
      <c r="J24" s="25"/>
      <c r="K24" s="427" t="s">
        <v>15</v>
      </c>
      <c r="L24" s="25">
        <v>28.311990559999998</v>
      </c>
      <c r="M24" s="25">
        <v>21.808992710000002</v>
      </c>
      <c r="N24" s="25">
        <v>28.360127260000002</v>
      </c>
      <c r="U24" s="35"/>
      <c r="V24" s="35"/>
      <c r="W24" s="35"/>
      <c r="X24" s="35"/>
      <c r="Z24" s="35"/>
      <c r="AA24" s="35"/>
      <c r="AB24" s="35"/>
      <c r="AC24" s="35"/>
      <c r="AE24" s="35"/>
      <c r="AF24" s="35"/>
      <c r="AG24" s="35"/>
    </row>
    <row r="25" spans="1:33" x14ac:dyDescent="0.25">
      <c r="A25" s="427" t="s">
        <v>156</v>
      </c>
      <c r="B25" s="25">
        <v>0</v>
      </c>
      <c r="C25" s="25">
        <v>0.12386352</v>
      </c>
      <c r="D25" s="25">
        <v>4.6559392099999997</v>
      </c>
      <c r="E25" s="25"/>
      <c r="F25" s="427" t="s">
        <v>171</v>
      </c>
      <c r="G25" s="25">
        <v>0.58170331999999991</v>
      </c>
      <c r="H25" s="25">
        <v>1.4055003799999999</v>
      </c>
      <c r="I25" s="25">
        <v>0.75980153000000006</v>
      </c>
      <c r="J25" s="25"/>
      <c r="K25" s="427" t="s">
        <v>48</v>
      </c>
      <c r="L25" s="25">
        <v>27.249380840000001</v>
      </c>
      <c r="M25" s="25">
        <v>35.616264439999995</v>
      </c>
      <c r="N25" s="25">
        <v>25.999110569999999</v>
      </c>
      <c r="U25" s="35"/>
      <c r="V25" s="35"/>
      <c r="W25" s="35"/>
      <c r="X25" s="35"/>
      <c r="Z25" s="35"/>
      <c r="AA25" s="35"/>
      <c r="AB25" s="35"/>
      <c r="AC25" s="35"/>
      <c r="AE25" s="35"/>
      <c r="AF25" s="35"/>
      <c r="AG25" s="35"/>
    </row>
    <row r="26" spans="1:33" x14ac:dyDescent="0.25">
      <c r="A26" s="427" t="s">
        <v>2</v>
      </c>
      <c r="B26" s="25">
        <v>0</v>
      </c>
      <c r="C26" s="25">
        <v>5.4095614800000007</v>
      </c>
      <c r="D26" s="25">
        <v>3.7447450400000002</v>
      </c>
      <c r="E26" s="25"/>
      <c r="F26" s="427" t="s">
        <v>208</v>
      </c>
      <c r="G26" s="25">
        <v>0.23512188000000001</v>
      </c>
      <c r="H26" s="25">
        <v>5.7819570000000001E-2</v>
      </c>
      <c r="I26" s="25">
        <v>0.68180337999999996</v>
      </c>
      <c r="J26" s="25"/>
      <c r="K26" s="427" t="s">
        <v>115</v>
      </c>
      <c r="L26" s="25">
        <v>29.872075199999998</v>
      </c>
      <c r="M26" s="25">
        <v>34.274170689999998</v>
      </c>
      <c r="N26" s="25">
        <v>25.842233969999999</v>
      </c>
      <c r="U26" s="35"/>
      <c r="V26" s="35"/>
      <c r="W26" s="35"/>
      <c r="X26" s="35"/>
      <c r="Z26" s="35"/>
      <c r="AA26" s="35"/>
      <c r="AB26" s="35"/>
      <c r="AC26" s="35"/>
      <c r="AE26" s="35"/>
      <c r="AF26" s="35"/>
      <c r="AG26" s="35"/>
    </row>
    <row r="27" spans="1:33" x14ac:dyDescent="0.25">
      <c r="A27" s="427" t="s">
        <v>173</v>
      </c>
      <c r="B27" s="25">
        <v>1.87413465</v>
      </c>
      <c r="C27" s="25">
        <v>1.0583169999999999E-2</v>
      </c>
      <c r="D27" s="25">
        <v>3.7080356800000001</v>
      </c>
      <c r="E27" s="25"/>
      <c r="F27" s="427" t="s">
        <v>1</v>
      </c>
      <c r="G27" s="25">
        <v>0</v>
      </c>
      <c r="H27" s="25">
        <v>0.64352806000000007</v>
      </c>
      <c r="I27" s="25">
        <v>0.59601091000000006</v>
      </c>
      <c r="J27" s="25"/>
      <c r="K27" s="427" t="s">
        <v>84</v>
      </c>
      <c r="L27" s="25">
        <v>35.620967960000002</v>
      </c>
      <c r="M27" s="25">
        <v>24.710823899999998</v>
      </c>
      <c r="N27" s="25">
        <v>23.01820609</v>
      </c>
      <c r="U27" s="35"/>
      <c r="V27" s="35"/>
      <c r="W27" s="35"/>
      <c r="X27" s="35"/>
      <c r="Z27" s="35"/>
      <c r="AA27" s="35"/>
      <c r="AB27" s="35"/>
      <c r="AC27" s="35"/>
      <c r="AE27" s="35"/>
      <c r="AF27" s="35"/>
      <c r="AG27" s="35"/>
    </row>
    <row r="28" spans="1:33" x14ac:dyDescent="0.25">
      <c r="A28" s="427" t="s">
        <v>4</v>
      </c>
      <c r="B28" s="25">
        <v>0</v>
      </c>
      <c r="C28" s="25">
        <v>0</v>
      </c>
      <c r="D28" s="25">
        <v>3.2807557300000001</v>
      </c>
      <c r="E28" s="25"/>
      <c r="F28" s="427" t="s">
        <v>134</v>
      </c>
      <c r="G28" s="25">
        <v>8.8876999999999999E-4</v>
      </c>
      <c r="H28" s="25">
        <v>7.9528289999999988E-2</v>
      </c>
      <c r="I28" s="25">
        <v>0.58031655000000004</v>
      </c>
      <c r="J28" s="25"/>
      <c r="K28" s="427" t="s">
        <v>208</v>
      </c>
      <c r="L28" s="25">
        <v>17.840162489999997</v>
      </c>
      <c r="M28" s="25">
        <v>17.794251510000002</v>
      </c>
      <c r="N28" s="25">
        <v>19.730553</v>
      </c>
      <c r="U28" s="35"/>
      <c r="V28" s="35"/>
      <c r="W28" s="35"/>
      <c r="X28" s="35"/>
      <c r="Z28" s="35"/>
      <c r="AA28" s="35"/>
      <c r="AB28" s="35"/>
      <c r="AC28" s="35"/>
      <c r="AE28" s="35"/>
      <c r="AF28" s="35"/>
      <c r="AG28" s="35"/>
    </row>
    <row r="29" spans="1:33" x14ac:dyDescent="0.25">
      <c r="A29" s="427" t="s">
        <v>978</v>
      </c>
      <c r="B29" s="25">
        <v>1694.8010146600002</v>
      </c>
      <c r="C29" s="25">
        <v>4.039657E-2</v>
      </c>
      <c r="D29" s="25">
        <v>3.17753168</v>
      </c>
      <c r="E29" s="25"/>
      <c r="F29" s="427" t="s">
        <v>162</v>
      </c>
      <c r="G29" s="25">
        <v>0.74321031000000004</v>
      </c>
      <c r="H29" s="25">
        <v>2.2613433599999997</v>
      </c>
      <c r="I29" s="25">
        <v>0.50588626000000003</v>
      </c>
      <c r="J29" s="25"/>
      <c r="K29" s="427" t="s">
        <v>27</v>
      </c>
      <c r="L29" s="25">
        <v>3.7232624400000001</v>
      </c>
      <c r="M29" s="25">
        <v>10.30596776</v>
      </c>
      <c r="N29" s="25">
        <v>16.24188685</v>
      </c>
      <c r="U29" s="35"/>
      <c r="V29" s="35"/>
      <c r="W29" s="35"/>
      <c r="X29" s="35"/>
      <c r="Z29" s="35"/>
      <c r="AA29" s="35"/>
      <c r="AB29" s="35"/>
      <c r="AC29" s="35"/>
      <c r="AE29" s="35"/>
      <c r="AF29" s="35"/>
      <c r="AG29" s="35"/>
    </row>
    <row r="30" spans="1:33" x14ac:dyDescent="0.25">
      <c r="A30" s="427" t="s">
        <v>97</v>
      </c>
      <c r="B30" s="25">
        <v>3.2347181900000002</v>
      </c>
      <c r="C30" s="25">
        <v>4.9122754500000001</v>
      </c>
      <c r="D30" s="25">
        <v>2.3422960600000002</v>
      </c>
      <c r="E30" s="25"/>
      <c r="F30" s="427" t="s">
        <v>215</v>
      </c>
      <c r="G30" s="25">
        <v>0.17993400000000001</v>
      </c>
      <c r="H30" s="25">
        <v>0.39685634000000003</v>
      </c>
      <c r="I30" s="25">
        <v>0.36969114000000003</v>
      </c>
      <c r="J30" s="25"/>
      <c r="K30" s="427" t="s">
        <v>97</v>
      </c>
      <c r="L30" s="25">
        <v>11.90998903</v>
      </c>
      <c r="M30" s="25">
        <v>15.072487949999999</v>
      </c>
      <c r="N30" s="25">
        <v>14.01012096</v>
      </c>
      <c r="U30" s="35"/>
      <c r="V30" s="35"/>
      <c r="W30" s="35"/>
      <c r="X30" s="35"/>
      <c r="Z30" s="35"/>
      <c r="AA30" s="35"/>
      <c r="AB30" s="35"/>
      <c r="AC30" s="35"/>
      <c r="AE30" s="35"/>
      <c r="AF30" s="35"/>
      <c r="AG30" s="35"/>
    </row>
    <row r="31" spans="1:33" x14ac:dyDescent="0.25">
      <c r="A31" s="427" t="s">
        <v>14</v>
      </c>
      <c r="B31" s="25">
        <v>0.74310997999999995</v>
      </c>
      <c r="C31" s="25">
        <v>1.50242992</v>
      </c>
      <c r="D31" s="25">
        <v>2.3250500399999998</v>
      </c>
      <c r="E31" s="25"/>
      <c r="F31" s="427" t="s">
        <v>22</v>
      </c>
      <c r="G31" s="25">
        <v>2.0000000000000002E-5</v>
      </c>
      <c r="H31" s="25">
        <v>1.192233E-2</v>
      </c>
      <c r="I31" s="25">
        <v>0.36502334000000003</v>
      </c>
      <c r="J31" s="25"/>
      <c r="K31" s="427" t="s">
        <v>179</v>
      </c>
      <c r="L31" s="25">
        <v>43.990242780000003</v>
      </c>
      <c r="M31" s="25">
        <v>21.891486199999999</v>
      </c>
      <c r="N31" s="25">
        <v>13.9513116</v>
      </c>
      <c r="U31" s="35"/>
      <c r="V31" s="35"/>
      <c r="W31" s="35"/>
      <c r="X31" s="35"/>
      <c r="Z31" s="35"/>
      <c r="AA31" s="35"/>
      <c r="AB31" s="35"/>
      <c r="AC31" s="35"/>
      <c r="AE31" s="35"/>
      <c r="AF31" s="35"/>
      <c r="AG31" s="35"/>
    </row>
    <row r="32" spans="1:33" x14ac:dyDescent="0.25">
      <c r="A32" s="427" t="s">
        <v>112</v>
      </c>
      <c r="B32" s="25">
        <v>1.52458E-3</v>
      </c>
      <c r="C32" s="25">
        <v>0.18594751999999998</v>
      </c>
      <c r="D32" s="25">
        <v>2.0504315399999999</v>
      </c>
      <c r="E32" s="25"/>
      <c r="F32" s="427" t="s">
        <v>24</v>
      </c>
      <c r="G32" s="25">
        <v>0</v>
      </c>
      <c r="H32" s="25">
        <v>2.6358659999999999E-2</v>
      </c>
      <c r="I32" s="25">
        <v>0.34614665999999999</v>
      </c>
      <c r="J32" s="25"/>
      <c r="K32" s="427" t="s">
        <v>80</v>
      </c>
      <c r="L32" s="25">
        <v>6.3314208799999996</v>
      </c>
      <c r="M32" s="25">
        <v>7.6388871399999996</v>
      </c>
      <c r="N32" s="25">
        <v>9.5121139600000006</v>
      </c>
      <c r="U32" s="35"/>
      <c r="V32" s="35"/>
      <c r="W32" s="35"/>
      <c r="X32" s="35"/>
      <c r="Z32" s="35"/>
      <c r="AA32" s="35"/>
      <c r="AB32" s="35"/>
      <c r="AC32" s="35"/>
      <c r="AE32" s="35"/>
      <c r="AF32" s="35"/>
      <c r="AG32" s="35"/>
    </row>
    <row r="33" spans="1:33" x14ac:dyDescent="0.25">
      <c r="A33" s="427" t="s">
        <v>138</v>
      </c>
      <c r="B33" s="25">
        <v>13.032302119999999</v>
      </c>
      <c r="C33" s="25">
        <v>18.678639199999999</v>
      </c>
      <c r="D33" s="25">
        <v>1.8856879600000001</v>
      </c>
      <c r="E33" s="25"/>
      <c r="F33" s="427" t="s">
        <v>30</v>
      </c>
      <c r="G33" s="25">
        <v>7.9808089999999998E-2</v>
      </c>
      <c r="H33" s="25">
        <v>2.6346939999999999E-2</v>
      </c>
      <c r="I33" s="25">
        <v>0.33626200000000001</v>
      </c>
      <c r="J33" s="25"/>
      <c r="K33" s="427" t="s">
        <v>16</v>
      </c>
      <c r="L33" s="25">
        <v>7.4677782500000003</v>
      </c>
      <c r="M33" s="25">
        <v>12.558112169999999</v>
      </c>
      <c r="N33" s="25">
        <v>8.2805642800000001</v>
      </c>
      <c r="U33" s="35"/>
      <c r="V33" s="35"/>
      <c r="W33" s="35"/>
      <c r="X33" s="35"/>
      <c r="Z33" s="35"/>
      <c r="AA33" s="35"/>
      <c r="AB33" s="35"/>
      <c r="AC33" s="35"/>
      <c r="AE33" s="35"/>
      <c r="AF33" s="35"/>
      <c r="AG33" s="35"/>
    </row>
    <row r="34" spans="1:33" x14ac:dyDescent="0.25">
      <c r="A34" s="427" t="s">
        <v>9</v>
      </c>
      <c r="B34" s="25">
        <v>5.6005846200000002</v>
      </c>
      <c r="C34" s="25">
        <v>2.7543348700000001</v>
      </c>
      <c r="D34" s="25">
        <v>1.8738807200000001</v>
      </c>
      <c r="E34" s="25"/>
      <c r="F34" s="427" t="s">
        <v>83</v>
      </c>
      <c r="G34" s="25">
        <v>8.1327199999999995E-3</v>
      </c>
      <c r="H34" s="25">
        <v>3.9296949999999997E-2</v>
      </c>
      <c r="I34" s="25">
        <v>0.32495718000000001</v>
      </c>
      <c r="J34" s="25"/>
      <c r="K34" s="427" t="s">
        <v>1</v>
      </c>
      <c r="L34" s="25">
        <v>88.538499799999997</v>
      </c>
      <c r="M34" s="25">
        <v>8.6406733300000003</v>
      </c>
      <c r="N34" s="25">
        <v>7.7954869699999998</v>
      </c>
      <c r="U34" s="35"/>
      <c r="V34" s="35"/>
      <c r="W34" s="35"/>
      <c r="X34" s="35"/>
      <c r="Z34" s="35"/>
      <c r="AA34" s="35"/>
      <c r="AB34" s="35"/>
      <c r="AC34" s="35"/>
      <c r="AE34" s="35"/>
      <c r="AF34" s="35"/>
      <c r="AG34" s="35"/>
    </row>
    <row r="35" spans="1:33" x14ac:dyDescent="0.25">
      <c r="A35" s="427" t="s">
        <v>58</v>
      </c>
      <c r="B35" s="25">
        <v>2.0353197399999998</v>
      </c>
      <c r="C35" s="25">
        <v>6.2348284700000001</v>
      </c>
      <c r="D35" s="25">
        <v>1.6929799999999999</v>
      </c>
      <c r="E35" s="25"/>
      <c r="F35" s="427" t="s">
        <v>166</v>
      </c>
      <c r="G35" s="25">
        <v>0.66521683999999992</v>
      </c>
      <c r="H35" s="25">
        <v>0.12093275000000001</v>
      </c>
      <c r="I35" s="25">
        <v>0.28879500000000002</v>
      </c>
      <c r="J35" s="25"/>
      <c r="K35" s="427" t="s">
        <v>45</v>
      </c>
      <c r="L35" s="25">
        <v>8.41249775</v>
      </c>
      <c r="M35" s="25">
        <v>5.7810208599999999</v>
      </c>
      <c r="N35" s="25">
        <v>7.3571289699999998</v>
      </c>
      <c r="U35" s="35"/>
      <c r="V35" s="35"/>
      <c r="W35" s="35"/>
      <c r="X35" s="35"/>
      <c r="Z35" s="35"/>
      <c r="AA35" s="35"/>
      <c r="AB35" s="35"/>
      <c r="AC35" s="35"/>
      <c r="AE35" s="35"/>
      <c r="AF35" s="35"/>
      <c r="AG35" s="35"/>
    </row>
    <row r="36" spans="1:33" x14ac:dyDescent="0.25">
      <c r="A36" s="427" t="s">
        <v>79</v>
      </c>
      <c r="B36" s="25">
        <v>7.0419330000000002E-2</v>
      </c>
      <c r="C36" s="25">
        <v>1.0621896399999999</v>
      </c>
      <c r="D36" s="25">
        <v>1.46139464</v>
      </c>
      <c r="E36" s="25"/>
      <c r="F36" s="427" t="s">
        <v>67</v>
      </c>
      <c r="G36" s="25">
        <v>6.0000000000000002E-5</v>
      </c>
      <c r="H36" s="25">
        <v>2.4277847100000001</v>
      </c>
      <c r="I36" s="25">
        <v>0.23656825000000001</v>
      </c>
      <c r="J36" s="25"/>
      <c r="K36" s="427" t="s">
        <v>73</v>
      </c>
      <c r="L36" s="25">
        <v>9.3050000000000001E-4</v>
      </c>
      <c r="M36" s="25">
        <v>1.067E-3</v>
      </c>
      <c r="N36" s="25">
        <v>7.2968489500000002</v>
      </c>
      <c r="U36" s="35"/>
      <c r="V36" s="35"/>
      <c r="W36" s="35"/>
      <c r="X36" s="35"/>
      <c r="Z36" s="35"/>
      <c r="AA36" s="35"/>
      <c r="AB36" s="35"/>
      <c r="AC36" s="35"/>
      <c r="AE36" s="35"/>
      <c r="AF36" s="35"/>
      <c r="AG36" s="35"/>
    </row>
    <row r="37" spans="1:33" x14ac:dyDescent="0.25">
      <c r="A37" s="427" t="s">
        <v>55</v>
      </c>
      <c r="B37" s="25">
        <v>0.60802218000000008</v>
      </c>
      <c r="C37" s="25">
        <v>6.8646322199999998</v>
      </c>
      <c r="D37" s="25">
        <v>1.46015304</v>
      </c>
      <c r="E37" s="25"/>
      <c r="F37" s="427" t="s">
        <v>128</v>
      </c>
      <c r="G37" s="25">
        <v>0</v>
      </c>
      <c r="H37" s="25">
        <v>0</v>
      </c>
      <c r="I37" s="25">
        <v>0.20353857</v>
      </c>
      <c r="J37" s="25"/>
      <c r="K37" s="427" t="s">
        <v>140</v>
      </c>
      <c r="L37" s="25">
        <v>1.8397724099999999</v>
      </c>
      <c r="M37" s="25">
        <v>1.8338107399999999</v>
      </c>
      <c r="N37" s="25">
        <v>7.1880045700000004</v>
      </c>
      <c r="U37" s="35"/>
      <c r="V37" s="35"/>
      <c r="W37" s="35"/>
      <c r="X37" s="35"/>
      <c r="Z37" s="35"/>
      <c r="AA37" s="35"/>
      <c r="AB37" s="35"/>
      <c r="AC37" s="35"/>
      <c r="AE37" s="35"/>
      <c r="AF37" s="35"/>
      <c r="AG37" s="35"/>
    </row>
    <row r="38" spans="1:33" x14ac:dyDescent="0.25">
      <c r="A38" s="427" t="s">
        <v>163</v>
      </c>
      <c r="B38" s="25">
        <v>0.29396042</v>
      </c>
      <c r="C38" s="25">
        <v>1.4297305600000001</v>
      </c>
      <c r="D38" s="25">
        <v>1.40065124</v>
      </c>
      <c r="E38" s="25"/>
      <c r="F38" s="427" t="s">
        <v>138</v>
      </c>
      <c r="G38" s="25">
        <v>0.27349832000000002</v>
      </c>
      <c r="H38" s="25">
        <v>0.39694385999999998</v>
      </c>
      <c r="I38" s="25">
        <v>0.18505832999999999</v>
      </c>
      <c r="J38" s="25"/>
      <c r="K38" s="427" t="s">
        <v>63</v>
      </c>
      <c r="L38" s="25">
        <v>0.99759500000000001</v>
      </c>
      <c r="M38" s="25">
        <v>4.00673996</v>
      </c>
      <c r="N38" s="25">
        <v>6.6806993399999994</v>
      </c>
      <c r="U38" s="35"/>
      <c r="V38" s="35"/>
      <c r="W38" s="35"/>
      <c r="X38" s="35"/>
      <c r="Z38" s="35"/>
      <c r="AA38" s="35"/>
      <c r="AB38" s="35"/>
      <c r="AC38" s="35"/>
      <c r="AE38" s="35"/>
      <c r="AF38" s="35"/>
      <c r="AG38" s="35"/>
    </row>
    <row r="39" spans="1:33" x14ac:dyDescent="0.25">
      <c r="A39" s="427" t="s">
        <v>157</v>
      </c>
      <c r="B39" s="25">
        <v>0.38721180999999999</v>
      </c>
      <c r="C39" s="25">
        <v>0</v>
      </c>
      <c r="D39" s="25">
        <v>1.1900637199999999</v>
      </c>
      <c r="E39" s="25"/>
      <c r="F39" s="427" t="s">
        <v>31</v>
      </c>
      <c r="G39" s="25">
        <v>0</v>
      </c>
      <c r="H39" s="25">
        <v>0.20594000000000001</v>
      </c>
      <c r="I39" s="25">
        <v>0.17469899999999999</v>
      </c>
      <c r="J39" s="25"/>
      <c r="K39" s="427" t="s">
        <v>104</v>
      </c>
      <c r="L39" s="25">
        <v>6.3134164299999993</v>
      </c>
      <c r="M39" s="25">
        <v>6.2177744700000002</v>
      </c>
      <c r="N39" s="25">
        <v>6.5481852500000004</v>
      </c>
      <c r="U39" s="35"/>
      <c r="V39" s="35"/>
      <c r="W39" s="35"/>
      <c r="X39" s="35"/>
      <c r="Z39" s="35"/>
      <c r="AA39" s="35"/>
      <c r="AB39" s="35"/>
      <c r="AC39" s="35"/>
      <c r="AE39" s="35"/>
      <c r="AF39" s="35"/>
      <c r="AG39" s="35"/>
    </row>
    <row r="40" spans="1:33" x14ac:dyDescent="0.25">
      <c r="A40" s="427" t="s">
        <v>76</v>
      </c>
      <c r="B40" s="25">
        <v>0.15431135000000001</v>
      </c>
      <c r="C40" s="25">
        <v>1.3779573000000001</v>
      </c>
      <c r="D40" s="25">
        <v>1.0725227399999999</v>
      </c>
      <c r="E40" s="25"/>
      <c r="F40" s="427" t="s">
        <v>127</v>
      </c>
      <c r="G40" s="25">
        <v>0</v>
      </c>
      <c r="H40" s="25">
        <v>9.1990759999999991E-2</v>
      </c>
      <c r="I40" s="25">
        <v>0.15193028</v>
      </c>
      <c r="J40" s="25"/>
      <c r="K40" s="427" t="s">
        <v>113</v>
      </c>
      <c r="L40" s="25">
        <v>86.256081159999994</v>
      </c>
      <c r="M40" s="25">
        <v>5.4548996700000201</v>
      </c>
      <c r="N40" s="25">
        <v>6.3963534699999993</v>
      </c>
      <c r="U40" s="35"/>
      <c r="V40" s="35"/>
      <c r="W40" s="35"/>
      <c r="X40" s="35"/>
      <c r="Z40" s="35"/>
      <c r="AA40" s="35"/>
      <c r="AB40" s="35"/>
      <c r="AC40" s="35"/>
      <c r="AE40" s="35"/>
      <c r="AF40" s="35"/>
      <c r="AG40" s="35"/>
    </row>
    <row r="41" spans="1:33" x14ac:dyDescent="0.25">
      <c r="A41" s="427" t="s">
        <v>30</v>
      </c>
      <c r="B41" s="25">
        <v>2.304407E-2</v>
      </c>
      <c r="C41" s="25">
        <v>9.5468329000000001</v>
      </c>
      <c r="D41" s="25">
        <v>0.93932950000000004</v>
      </c>
      <c r="E41" s="25"/>
      <c r="F41" s="427" t="s">
        <v>135</v>
      </c>
      <c r="G41" s="25">
        <v>0.21198064999999999</v>
      </c>
      <c r="H41" s="25">
        <v>0.16935976999999999</v>
      </c>
      <c r="I41" s="25">
        <v>0.14566532999999998</v>
      </c>
      <c r="J41" s="25"/>
      <c r="K41" s="427" t="s">
        <v>189</v>
      </c>
      <c r="L41" s="25">
        <v>2.42017536</v>
      </c>
      <c r="M41" s="25">
        <v>6.0389113799999894</v>
      </c>
      <c r="N41" s="25">
        <v>5.6993242799999901</v>
      </c>
      <c r="U41" s="35"/>
      <c r="V41" s="35"/>
      <c r="W41" s="35"/>
      <c r="X41" s="35"/>
      <c r="Z41" s="35"/>
      <c r="AA41" s="35"/>
      <c r="AB41" s="35"/>
      <c r="AC41" s="35"/>
      <c r="AE41" s="35"/>
      <c r="AF41" s="35"/>
      <c r="AG41" s="35"/>
    </row>
    <row r="42" spans="1:33" x14ac:dyDescent="0.25">
      <c r="A42" s="427" t="s">
        <v>158</v>
      </c>
      <c r="B42" s="25">
        <v>0.24136576999999998</v>
      </c>
      <c r="C42" s="25">
        <v>0.47646050000000001</v>
      </c>
      <c r="D42" s="25">
        <v>0.92061016000000007</v>
      </c>
      <c r="E42" s="25"/>
      <c r="F42" s="427" t="s">
        <v>163</v>
      </c>
      <c r="G42" s="25">
        <v>1.4499999999999999E-3</v>
      </c>
      <c r="H42" s="25">
        <v>4.6747050000000005E-2</v>
      </c>
      <c r="I42" s="25">
        <v>0.13973081000000001</v>
      </c>
      <c r="J42" s="25"/>
      <c r="K42" s="427" t="s">
        <v>202</v>
      </c>
      <c r="L42" s="25">
        <v>0.50540209999999997</v>
      </c>
      <c r="M42" s="25">
        <v>5.8491468300000005</v>
      </c>
      <c r="N42" s="25">
        <v>5.1998817800000001</v>
      </c>
      <c r="U42" s="35"/>
      <c r="V42" s="35"/>
      <c r="W42" s="35"/>
      <c r="X42" s="35"/>
      <c r="Z42" s="35"/>
      <c r="AA42" s="35"/>
      <c r="AB42" s="35"/>
      <c r="AC42" s="35"/>
      <c r="AE42" s="35"/>
      <c r="AF42" s="35"/>
      <c r="AG42" s="35"/>
    </row>
    <row r="43" spans="1:33" x14ac:dyDescent="0.25">
      <c r="A43" s="427" t="s">
        <v>164</v>
      </c>
      <c r="B43" s="25">
        <v>0.64621445</v>
      </c>
      <c r="C43" s="25">
        <v>2.5659609999999999E-2</v>
      </c>
      <c r="D43" s="25">
        <v>0.90231453000000006</v>
      </c>
      <c r="E43" s="25"/>
      <c r="F43" s="427" t="s">
        <v>198</v>
      </c>
      <c r="G43" s="25">
        <v>0.21024401000000001</v>
      </c>
      <c r="H43" s="25">
        <v>3.7351050000000004E-2</v>
      </c>
      <c r="I43" s="25">
        <v>0.12856818</v>
      </c>
      <c r="J43" s="25"/>
      <c r="K43" s="427" t="s">
        <v>117</v>
      </c>
      <c r="L43" s="25">
        <v>0.11532315</v>
      </c>
      <c r="M43" s="25">
        <v>11.81292661</v>
      </c>
      <c r="N43" s="25">
        <v>4.8450096399999998</v>
      </c>
      <c r="U43" s="35"/>
      <c r="V43" s="35"/>
      <c r="W43" s="35"/>
      <c r="X43" s="35"/>
      <c r="Z43" s="35"/>
      <c r="AA43" s="35"/>
      <c r="AB43" s="35"/>
      <c r="AC43" s="35"/>
      <c r="AE43" s="35"/>
      <c r="AF43" s="35"/>
      <c r="AG43" s="35"/>
    </row>
    <row r="44" spans="1:33" x14ac:dyDescent="0.25">
      <c r="A44" s="427" t="s">
        <v>134</v>
      </c>
      <c r="B44" s="25">
        <v>9.2699829999999997E-2</v>
      </c>
      <c r="C44" s="25">
        <v>1.5832864499999999</v>
      </c>
      <c r="D44" s="25">
        <v>0.82760612</v>
      </c>
      <c r="E44" s="25"/>
      <c r="F44" s="427" t="s">
        <v>95</v>
      </c>
      <c r="G44" s="25">
        <v>5.1858999999999994E-3</v>
      </c>
      <c r="H44" s="25">
        <v>4.731635E-2</v>
      </c>
      <c r="I44" s="25">
        <v>0.12541456000000001</v>
      </c>
      <c r="J44" s="25"/>
      <c r="K44" s="427" t="s">
        <v>182</v>
      </c>
      <c r="L44" s="25">
        <v>0.25440868999999999</v>
      </c>
      <c r="M44" s="25">
        <v>0.52826203000000005</v>
      </c>
      <c r="N44" s="25">
        <v>4.5743627800000004</v>
      </c>
      <c r="U44" s="35"/>
      <c r="V44" s="35"/>
      <c r="W44" s="35"/>
      <c r="X44" s="35"/>
      <c r="Z44" s="35"/>
      <c r="AA44" s="35"/>
      <c r="AB44" s="35"/>
      <c r="AC44" s="35"/>
      <c r="AE44" s="35"/>
      <c r="AF44" s="35"/>
      <c r="AG44" s="35"/>
    </row>
    <row r="45" spans="1:33" x14ac:dyDescent="0.25">
      <c r="A45" s="427" t="s">
        <v>146</v>
      </c>
      <c r="B45" s="25">
        <v>0.17780014000000002</v>
      </c>
      <c r="C45" s="25">
        <v>3.6265920499999997</v>
      </c>
      <c r="D45" s="25">
        <v>0.78412255000000008</v>
      </c>
      <c r="E45" s="25"/>
      <c r="F45" s="427" t="s">
        <v>114</v>
      </c>
      <c r="G45" s="25">
        <v>4.3459999999999999E-2</v>
      </c>
      <c r="H45" s="25">
        <v>0.13410306</v>
      </c>
      <c r="I45" s="25">
        <v>0.12140936999999999</v>
      </c>
      <c r="J45" s="25"/>
      <c r="K45" s="427" t="s">
        <v>178</v>
      </c>
      <c r="L45" s="25">
        <v>1.13448108</v>
      </c>
      <c r="M45" s="25">
        <v>1.4169265500000001</v>
      </c>
      <c r="N45" s="25">
        <v>4.5459054600000002</v>
      </c>
      <c r="U45" s="35"/>
      <c r="V45" s="35"/>
      <c r="W45" s="35"/>
      <c r="X45" s="35"/>
      <c r="Z45" s="35"/>
      <c r="AA45" s="35"/>
      <c r="AB45" s="35"/>
      <c r="AC45" s="35"/>
      <c r="AE45" s="35"/>
      <c r="AF45" s="35"/>
      <c r="AG45" s="35"/>
    </row>
    <row r="46" spans="1:33" x14ac:dyDescent="0.25">
      <c r="A46" s="427" t="s">
        <v>65</v>
      </c>
      <c r="B46" s="25">
        <v>0.75520248999999995</v>
      </c>
      <c r="C46" s="25">
        <v>1.0679234499999999</v>
      </c>
      <c r="D46" s="25">
        <v>0.73413552000000004</v>
      </c>
      <c r="E46" s="25"/>
      <c r="F46" s="427" t="s">
        <v>195</v>
      </c>
      <c r="G46" s="25">
        <v>6.2119690000000005E-2</v>
      </c>
      <c r="H46" s="25">
        <v>3.1641880000000004E-2</v>
      </c>
      <c r="I46" s="25">
        <v>0.11064582000000001</v>
      </c>
      <c r="J46" s="25"/>
      <c r="K46" s="427" t="s">
        <v>87</v>
      </c>
      <c r="L46" s="25">
        <v>8.7339830000000007E-2</v>
      </c>
      <c r="M46" s="25">
        <v>0.52168700000000001</v>
      </c>
      <c r="N46" s="25">
        <v>4.3804926399999999</v>
      </c>
      <c r="U46" s="35"/>
      <c r="V46" s="35"/>
      <c r="W46" s="35"/>
      <c r="X46" s="35"/>
      <c r="Z46" s="35"/>
      <c r="AA46" s="35"/>
      <c r="AB46" s="35"/>
      <c r="AC46" s="35"/>
      <c r="AE46" s="35"/>
      <c r="AF46" s="35"/>
      <c r="AG46" s="35"/>
    </row>
    <row r="47" spans="1:33" x14ac:dyDescent="0.25">
      <c r="A47" s="427" t="s">
        <v>202</v>
      </c>
      <c r="B47" s="25">
        <v>8.1102946500000002</v>
      </c>
      <c r="C47" s="25">
        <v>0.28810734999999998</v>
      </c>
      <c r="D47" s="25">
        <v>0.73399718999999997</v>
      </c>
      <c r="E47" s="25"/>
      <c r="F47" s="427" t="s">
        <v>102</v>
      </c>
      <c r="G47" s="25">
        <v>5.7596080000000001E-2</v>
      </c>
      <c r="H47" s="25">
        <v>0.21391582999999997</v>
      </c>
      <c r="I47" s="25">
        <v>0.10086899000000001</v>
      </c>
      <c r="J47" s="25"/>
      <c r="K47" s="427" t="s">
        <v>214</v>
      </c>
      <c r="L47" s="25">
        <v>0.35992471999999998</v>
      </c>
      <c r="M47" s="25">
        <v>5.5966651000000001</v>
      </c>
      <c r="N47" s="25">
        <v>4.3026489800000007</v>
      </c>
      <c r="U47" s="35"/>
      <c r="V47" s="35"/>
      <c r="W47" s="35"/>
      <c r="X47" s="35"/>
      <c r="Z47" s="35"/>
      <c r="AA47" s="35"/>
      <c r="AB47" s="35"/>
      <c r="AC47" s="35"/>
      <c r="AE47" s="35"/>
      <c r="AF47" s="35"/>
      <c r="AG47" s="35"/>
    </row>
    <row r="48" spans="1:33" x14ac:dyDescent="0.25">
      <c r="A48" s="427" t="s">
        <v>161</v>
      </c>
      <c r="B48" s="25">
        <v>2.1499999999999998E-2</v>
      </c>
      <c r="C48" s="25">
        <v>0.25772475</v>
      </c>
      <c r="D48" s="25">
        <v>0.63722224999999999</v>
      </c>
      <c r="E48" s="25"/>
      <c r="F48" s="427" t="s">
        <v>62</v>
      </c>
      <c r="G48" s="25">
        <v>4.345545E-2</v>
      </c>
      <c r="H48" s="25">
        <v>4.9693599999999999E-3</v>
      </c>
      <c r="I48" s="25">
        <v>9.8927779999999993E-2</v>
      </c>
      <c r="J48" s="25"/>
      <c r="K48" s="427" t="s">
        <v>10</v>
      </c>
      <c r="L48" s="25">
        <v>18.622174910000002</v>
      </c>
      <c r="M48" s="25">
        <v>3.9955389000000001</v>
      </c>
      <c r="N48" s="25">
        <v>3.6315214300000003</v>
      </c>
      <c r="U48" s="35"/>
      <c r="V48" s="35"/>
      <c r="W48" s="35"/>
      <c r="X48" s="35"/>
      <c r="Z48" s="35"/>
      <c r="AA48" s="35"/>
      <c r="AB48" s="35"/>
      <c r="AC48" s="35"/>
      <c r="AE48" s="35"/>
      <c r="AF48" s="35"/>
      <c r="AG48" s="35"/>
    </row>
    <row r="49" spans="1:33" x14ac:dyDescent="0.25">
      <c r="A49" s="427" t="s">
        <v>127</v>
      </c>
      <c r="B49" s="25">
        <v>0.59069662000000001</v>
      </c>
      <c r="C49" s="25">
        <v>2.6850603900000003</v>
      </c>
      <c r="D49" s="25">
        <v>0.61281649999999999</v>
      </c>
      <c r="E49" s="25"/>
      <c r="F49" s="427" t="s">
        <v>173</v>
      </c>
      <c r="G49" s="25">
        <v>7.327169E-2</v>
      </c>
      <c r="H49" s="25">
        <v>0.82142989</v>
      </c>
      <c r="I49" s="25">
        <v>9.2381640000000001E-2</v>
      </c>
      <c r="J49" s="25"/>
      <c r="K49" s="427" t="s">
        <v>58</v>
      </c>
      <c r="L49" s="25">
        <v>5.1451945700000001</v>
      </c>
      <c r="M49" s="25">
        <v>1.2545623799999999</v>
      </c>
      <c r="N49" s="25">
        <v>3.1680280299999999</v>
      </c>
      <c r="U49" s="35"/>
      <c r="V49" s="35"/>
      <c r="W49" s="35"/>
      <c r="X49" s="35"/>
      <c r="Z49" s="35"/>
      <c r="AA49" s="35"/>
      <c r="AB49" s="35"/>
      <c r="AC49" s="35"/>
      <c r="AE49" s="35"/>
      <c r="AF49" s="35"/>
      <c r="AG49" s="35"/>
    </row>
    <row r="50" spans="1:33" x14ac:dyDescent="0.25">
      <c r="A50" s="427" t="s">
        <v>51</v>
      </c>
      <c r="B50" s="25">
        <v>54.74547767</v>
      </c>
      <c r="C50" s="25">
        <v>903.28965272000005</v>
      </c>
      <c r="D50" s="25">
        <v>0.54669414000000005</v>
      </c>
      <c r="E50" s="25"/>
      <c r="F50" s="427" t="s">
        <v>197</v>
      </c>
      <c r="G50" s="25">
        <v>3.5299050000000005E-2</v>
      </c>
      <c r="H50" s="25">
        <v>8.7466499999999999E-3</v>
      </c>
      <c r="I50" s="25">
        <v>9.1278999999999999E-2</v>
      </c>
      <c r="J50" s="25"/>
      <c r="K50" s="427" t="s">
        <v>158</v>
      </c>
      <c r="L50" s="25">
        <v>15.25577118</v>
      </c>
      <c r="M50" s="25">
        <v>2.1576321200000002</v>
      </c>
      <c r="N50" s="25">
        <v>3.1172698100000003</v>
      </c>
      <c r="U50" s="35"/>
      <c r="V50" s="35"/>
      <c r="W50" s="35"/>
      <c r="X50" s="35"/>
      <c r="Z50" s="35"/>
      <c r="AA50" s="35"/>
      <c r="AB50" s="35"/>
      <c r="AC50" s="35"/>
      <c r="AE50" s="35"/>
      <c r="AF50" s="35"/>
      <c r="AG50" s="35"/>
    </row>
    <row r="51" spans="1:33" x14ac:dyDescent="0.25">
      <c r="A51" s="427" t="s">
        <v>131</v>
      </c>
      <c r="B51" s="25">
        <v>0</v>
      </c>
      <c r="C51" s="25">
        <v>3.4971618799999997</v>
      </c>
      <c r="D51" s="25">
        <v>0.50337074000000004</v>
      </c>
      <c r="E51" s="25"/>
      <c r="F51" s="427" t="s">
        <v>978</v>
      </c>
      <c r="G51" s="25">
        <v>0</v>
      </c>
      <c r="H51" s="25">
        <v>0</v>
      </c>
      <c r="I51" s="25">
        <v>8.9732820000000005E-2</v>
      </c>
      <c r="J51" s="25"/>
      <c r="K51" s="427" t="s">
        <v>40</v>
      </c>
      <c r="L51" s="25">
        <v>2.5770026000000001</v>
      </c>
      <c r="M51" s="25">
        <v>2.6058438500000003</v>
      </c>
      <c r="N51" s="25">
        <v>3.0900599999999998</v>
      </c>
      <c r="U51" s="35"/>
      <c r="V51" s="35"/>
      <c r="W51" s="35"/>
      <c r="X51" s="35"/>
      <c r="Z51" s="35"/>
      <c r="AA51" s="35"/>
      <c r="AB51" s="35"/>
      <c r="AC51" s="35"/>
      <c r="AE51" s="35"/>
      <c r="AF51" s="35"/>
      <c r="AG51" s="35"/>
    </row>
    <row r="52" spans="1:33" x14ac:dyDescent="0.25">
      <c r="A52" s="427" t="s">
        <v>188</v>
      </c>
      <c r="B52" s="25">
        <v>0</v>
      </c>
      <c r="C52" s="25">
        <v>1.0054499999999999E-2</v>
      </c>
      <c r="D52" s="25">
        <v>0.48436178999999996</v>
      </c>
      <c r="E52" s="25"/>
      <c r="F52" s="427" t="s">
        <v>146</v>
      </c>
      <c r="G52" s="25">
        <v>2.283172E-2</v>
      </c>
      <c r="H52" s="25">
        <v>1.39766787</v>
      </c>
      <c r="I52" s="25">
        <v>7.5087059999999997E-2</v>
      </c>
      <c r="J52" s="25"/>
      <c r="K52" s="427" t="s">
        <v>135</v>
      </c>
      <c r="L52" s="25">
        <v>16.151970710000001</v>
      </c>
      <c r="M52" s="25">
        <v>5.0941595199999998</v>
      </c>
      <c r="N52" s="25">
        <v>2.8259712599999998</v>
      </c>
      <c r="U52" s="35"/>
      <c r="V52" s="35"/>
      <c r="W52" s="35"/>
      <c r="X52" s="35"/>
      <c r="Z52" s="35"/>
      <c r="AA52" s="35"/>
      <c r="AB52" s="35"/>
      <c r="AC52" s="35"/>
      <c r="AE52" s="35"/>
      <c r="AF52" s="35"/>
      <c r="AG52" s="35"/>
    </row>
    <row r="53" spans="1:33" x14ac:dyDescent="0.25">
      <c r="A53" s="427" t="s">
        <v>11</v>
      </c>
      <c r="B53" s="25">
        <v>1.4199659999999999E-2</v>
      </c>
      <c r="C53" s="25">
        <v>0.37191209000000003</v>
      </c>
      <c r="D53" s="25">
        <v>0.47059894000000002</v>
      </c>
      <c r="E53" s="25"/>
      <c r="F53" s="427" t="s">
        <v>140</v>
      </c>
      <c r="G53" s="25">
        <v>0.14253507000000001</v>
      </c>
      <c r="H53" s="25">
        <v>1.7673159199999999</v>
      </c>
      <c r="I53" s="25">
        <v>7.3937880000000011E-2</v>
      </c>
      <c r="J53" s="25"/>
      <c r="K53" s="427" t="s">
        <v>157</v>
      </c>
      <c r="L53" s="25">
        <v>2.4654842700000001</v>
      </c>
      <c r="M53" s="25">
        <v>5.8412657000000001</v>
      </c>
      <c r="N53" s="25">
        <v>2.6132964199999997</v>
      </c>
      <c r="U53" s="35"/>
      <c r="V53" s="35"/>
      <c r="W53" s="35"/>
      <c r="X53" s="35"/>
      <c r="Z53" s="35"/>
      <c r="AA53" s="35"/>
      <c r="AB53" s="35"/>
      <c r="AC53" s="35"/>
      <c r="AE53" s="35"/>
      <c r="AF53" s="35"/>
      <c r="AG53" s="35"/>
    </row>
    <row r="54" spans="1:33" x14ac:dyDescent="0.25">
      <c r="A54" s="427" t="s">
        <v>44</v>
      </c>
      <c r="B54" s="25">
        <v>0</v>
      </c>
      <c r="C54" s="25">
        <v>0</v>
      </c>
      <c r="D54" s="25">
        <v>0.44031900000000002</v>
      </c>
      <c r="E54" s="25"/>
      <c r="F54" s="427" t="s">
        <v>167</v>
      </c>
      <c r="G54" s="25">
        <v>0.27396354000000001</v>
      </c>
      <c r="H54" s="25">
        <v>1.11214287</v>
      </c>
      <c r="I54" s="25">
        <v>7.32931E-2</v>
      </c>
      <c r="J54" s="25"/>
      <c r="K54" s="427" t="s">
        <v>118</v>
      </c>
      <c r="L54" s="25">
        <v>0.48881939000000002</v>
      </c>
      <c r="M54" s="25">
        <v>0.72053674999999995</v>
      </c>
      <c r="N54" s="25">
        <v>2.5573917700000002</v>
      </c>
      <c r="U54" s="35"/>
      <c r="V54" s="35"/>
      <c r="W54" s="35"/>
      <c r="X54" s="35"/>
      <c r="Z54" s="35"/>
      <c r="AA54" s="35"/>
      <c r="AB54" s="35"/>
      <c r="AC54" s="35"/>
      <c r="AE54" s="35"/>
      <c r="AF54" s="35"/>
      <c r="AG54" s="35"/>
    </row>
    <row r="55" spans="1:33" x14ac:dyDescent="0.25">
      <c r="A55" s="427" t="s">
        <v>95</v>
      </c>
      <c r="B55" s="25">
        <v>0.30230459999999998</v>
      </c>
      <c r="C55" s="25">
        <v>4.0894349999999996E-2</v>
      </c>
      <c r="D55" s="25">
        <v>0.36167987000000001</v>
      </c>
      <c r="E55" s="25"/>
      <c r="F55" s="427" t="s">
        <v>204</v>
      </c>
      <c r="G55" s="25">
        <v>7.5760000000000003E-3</v>
      </c>
      <c r="H55" s="25">
        <v>4.2368999999999997E-2</v>
      </c>
      <c r="I55" s="25">
        <v>7.3236270000000006E-2</v>
      </c>
      <c r="J55" s="25"/>
      <c r="K55" s="427" t="s">
        <v>131</v>
      </c>
      <c r="L55" s="25">
        <v>13.209243539999999</v>
      </c>
      <c r="M55" s="25">
        <v>5.88721447</v>
      </c>
      <c r="N55" s="25">
        <v>2.3390315400000001</v>
      </c>
      <c r="U55" s="35"/>
      <c r="V55" s="35"/>
      <c r="W55" s="35"/>
      <c r="X55" s="35"/>
      <c r="Z55" s="35"/>
      <c r="AA55" s="35"/>
      <c r="AB55" s="35"/>
      <c r="AC55" s="35"/>
      <c r="AE55" s="35"/>
      <c r="AF55" s="35"/>
      <c r="AG55" s="35"/>
    </row>
    <row r="56" spans="1:33" x14ac:dyDescent="0.25">
      <c r="A56" s="427" t="s">
        <v>113</v>
      </c>
      <c r="B56" s="25">
        <v>9.3263949999999998E-2</v>
      </c>
      <c r="C56" s="25">
        <v>0.28926550000000001</v>
      </c>
      <c r="D56" s="25">
        <v>0.3608826</v>
      </c>
      <c r="E56" s="25"/>
      <c r="F56" s="427" t="s">
        <v>212</v>
      </c>
      <c r="G56" s="25">
        <v>2.7505000000000002E-2</v>
      </c>
      <c r="H56" s="25">
        <v>2.15572689</v>
      </c>
      <c r="I56" s="25">
        <v>7.199317999999999E-2</v>
      </c>
      <c r="J56" s="25"/>
      <c r="K56" s="427" t="s">
        <v>38</v>
      </c>
      <c r="L56" s="25">
        <v>2.6661107799999999</v>
      </c>
      <c r="M56" s="25">
        <v>3.0373272400000002</v>
      </c>
      <c r="N56" s="25">
        <v>2.308989</v>
      </c>
      <c r="U56" s="35"/>
      <c r="V56" s="35"/>
      <c r="W56" s="35"/>
      <c r="X56" s="35"/>
      <c r="Z56" s="35"/>
      <c r="AA56" s="35"/>
      <c r="AB56" s="35"/>
      <c r="AC56" s="35"/>
      <c r="AE56" s="35"/>
      <c r="AF56" s="35"/>
      <c r="AG56" s="35"/>
    </row>
    <row r="57" spans="1:33" x14ac:dyDescent="0.25">
      <c r="A57" s="427" t="s">
        <v>182</v>
      </c>
      <c r="B57" s="25">
        <v>0</v>
      </c>
      <c r="C57" s="25">
        <v>0</v>
      </c>
      <c r="D57" s="25">
        <v>0.34703746000000002</v>
      </c>
      <c r="E57" s="25"/>
      <c r="F57" s="427" t="s">
        <v>160</v>
      </c>
      <c r="G57" s="25">
        <v>0.39528449999999998</v>
      </c>
      <c r="H57" s="25">
        <v>1.073791E-2</v>
      </c>
      <c r="I57" s="25">
        <v>5.9135269999999997E-2</v>
      </c>
      <c r="J57" s="25"/>
      <c r="K57" s="427" t="s">
        <v>171</v>
      </c>
      <c r="L57" s="25">
        <v>1.0645356100000001</v>
      </c>
      <c r="M57" s="25">
        <v>0.89896618000000006</v>
      </c>
      <c r="N57" s="25">
        <v>1.6822879799999999</v>
      </c>
      <c r="U57" s="35"/>
      <c r="V57" s="35"/>
      <c r="W57" s="35"/>
      <c r="X57" s="35"/>
      <c r="Z57" s="35"/>
      <c r="AA57" s="35"/>
      <c r="AB57" s="35"/>
      <c r="AC57" s="35"/>
      <c r="AE57" s="35"/>
      <c r="AF57" s="35"/>
      <c r="AG57" s="35"/>
    </row>
    <row r="58" spans="1:33" x14ac:dyDescent="0.25">
      <c r="A58" s="427" t="s">
        <v>84</v>
      </c>
      <c r="B58" s="25">
        <v>0.26741230999999999</v>
      </c>
      <c r="C58" s="25">
        <v>0.50006967000000002</v>
      </c>
      <c r="D58" s="25">
        <v>0.33743298999999999</v>
      </c>
      <c r="E58" s="25"/>
      <c r="F58" s="427" t="s">
        <v>207</v>
      </c>
      <c r="G58" s="25">
        <v>1.3121590000000001E-2</v>
      </c>
      <c r="H58" s="25">
        <v>6.8793699999999999E-2</v>
      </c>
      <c r="I58" s="25">
        <v>5.738849E-2</v>
      </c>
      <c r="J58" s="25"/>
      <c r="K58" s="427" t="s">
        <v>176</v>
      </c>
      <c r="L58" s="25">
        <v>0.47390686999999998</v>
      </c>
      <c r="M58" s="25">
        <v>0.65137012999999999</v>
      </c>
      <c r="N58" s="25">
        <v>1.65512769</v>
      </c>
      <c r="U58" s="35"/>
      <c r="V58" s="35"/>
      <c r="W58" s="35"/>
      <c r="X58" s="35"/>
      <c r="Z58" s="35"/>
      <c r="AA58" s="35"/>
      <c r="AB58" s="35"/>
      <c r="AC58" s="35"/>
      <c r="AE58" s="35"/>
      <c r="AF58" s="35"/>
      <c r="AG58" s="35"/>
    </row>
    <row r="59" spans="1:33" x14ac:dyDescent="0.25">
      <c r="A59" s="427" t="s">
        <v>166</v>
      </c>
      <c r="B59" s="25">
        <v>7.2504159999999998E-2</v>
      </c>
      <c r="C59" s="25">
        <v>0</v>
      </c>
      <c r="D59" s="25">
        <v>0.27616918000000001</v>
      </c>
      <c r="E59" s="25"/>
      <c r="F59" s="427" t="s">
        <v>161</v>
      </c>
      <c r="G59" s="25">
        <v>0</v>
      </c>
      <c r="H59" s="25">
        <v>8.6852330000000005E-2</v>
      </c>
      <c r="I59" s="25">
        <v>5.1743459999999998E-2</v>
      </c>
      <c r="J59" s="25"/>
      <c r="K59" s="427" t="s">
        <v>106</v>
      </c>
      <c r="L59" s="25">
        <v>0.47930403000000005</v>
      </c>
      <c r="M59" s="25">
        <v>0.85471383999999995</v>
      </c>
      <c r="N59" s="25">
        <v>1.5649575</v>
      </c>
      <c r="U59" s="35"/>
      <c r="V59" s="35"/>
      <c r="W59" s="35"/>
      <c r="X59" s="35"/>
      <c r="Z59" s="35"/>
      <c r="AA59" s="35"/>
      <c r="AB59" s="35"/>
      <c r="AC59" s="35"/>
      <c r="AE59" s="35"/>
      <c r="AF59" s="35"/>
      <c r="AG59" s="35"/>
    </row>
    <row r="60" spans="1:33" x14ac:dyDescent="0.25">
      <c r="A60" s="427" t="s">
        <v>192</v>
      </c>
      <c r="B60" s="25">
        <v>5.0938999999999998E-2</v>
      </c>
      <c r="C60" s="25">
        <v>1.06131E-3</v>
      </c>
      <c r="D60" s="25">
        <v>0.26016134000000002</v>
      </c>
      <c r="E60" s="25"/>
      <c r="F60" s="427" t="s">
        <v>164</v>
      </c>
      <c r="G60" s="25">
        <v>3.9280000000000001E-4</v>
      </c>
      <c r="H60" s="25">
        <v>1.4855200000000001E-2</v>
      </c>
      <c r="I60" s="25">
        <v>5.1015519999999995E-2</v>
      </c>
      <c r="J60" s="25"/>
      <c r="K60" s="427" t="s">
        <v>20</v>
      </c>
      <c r="L60" s="25">
        <v>0.39487243</v>
      </c>
      <c r="M60" s="25">
        <v>1.4009354999999999</v>
      </c>
      <c r="N60" s="25">
        <v>1.562222</v>
      </c>
      <c r="U60" s="35"/>
      <c r="V60" s="35"/>
      <c r="W60" s="35"/>
      <c r="X60" s="35"/>
      <c r="Z60" s="35"/>
      <c r="AA60" s="35"/>
      <c r="AB60" s="35"/>
      <c r="AC60" s="35"/>
      <c r="AE60" s="35"/>
      <c r="AF60" s="35"/>
      <c r="AG60" s="35"/>
    </row>
    <row r="61" spans="1:33" x14ac:dyDescent="0.25">
      <c r="A61" s="427" t="s">
        <v>172</v>
      </c>
      <c r="B61" s="25">
        <v>0.6179669499999999</v>
      </c>
      <c r="C61" s="25">
        <v>0</v>
      </c>
      <c r="D61" s="25">
        <v>0.19538654999999999</v>
      </c>
      <c r="E61" s="25"/>
      <c r="F61" s="427" t="s">
        <v>112</v>
      </c>
      <c r="G61" s="25">
        <v>2.3608600000000002E-3</v>
      </c>
      <c r="H61" s="25">
        <v>7.3402999999999999E-4</v>
      </c>
      <c r="I61" s="25">
        <v>5.0150660000000007E-2</v>
      </c>
      <c r="J61" s="25"/>
      <c r="K61" s="427" t="s">
        <v>50</v>
      </c>
      <c r="L61" s="25">
        <v>2.1589446800000003</v>
      </c>
      <c r="M61" s="25">
        <v>2.1648373199999997</v>
      </c>
      <c r="N61" s="25">
        <v>1.5179647000000001</v>
      </c>
      <c r="U61" s="35"/>
      <c r="V61" s="35"/>
      <c r="W61" s="35"/>
      <c r="X61" s="35"/>
      <c r="Z61" s="35"/>
      <c r="AA61" s="35"/>
      <c r="AB61" s="35"/>
      <c r="AC61" s="35"/>
      <c r="AE61" s="35"/>
      <c r="AF61" s="35"/>
      <c r="AG61" s="35"/>
    </row>
    <row r="62" spans="1:33" x14ac:dyDescent="0.25">
      <c r="A62" s="427" t="s">
        <v>189</v>
      </c>
      <c r="B62" s="25">
        <v>1.232925E-2</v>
      </c>
      <c r="C62" s="25">
        <v>1.1993692</v>
      </c>
      <c r="D62" s="25">
        <v>0.19481130999999999</v>
      </c>
      <c r="E62" s="25"/>
      <c r="F62" s="427" t="s">
        <v>75</v>
      </c>
      <c r="G62" s="25">
        <v>0</v>
      </c>
      <c r="H62" s="25">
        <v>5.2690099999999997E-2</v>
      </c>
      <c r="I62" s="25">
        <v>4.6897629999999996E-2</v>
      </c>
      <c r="J62" s="25"/>
      <c r="K62" s="427" t="s">
        <v>81</v>
      </c>
      <c r="L62" s="25">
        <v>2.3533077900000001</v>
      </c>
      <c r="M62" s="25">
        <v>4.7779220999999996</v>
      </c>
      <c r="N62" s="25">
        <v>1.50058826</v>
      </c>
      <c r="U62" s="35"/>
      <c r="V62" s="35"/>
      <c r="W62" s="35"/>
      <c r="X62" s="35"/>
      <c r="Z62" s="35"/>
      <c r="AA62" s="35"/>
      <c r="AB62" s="35"/>
      <c r="AC62" s="35"/>
      <c r="AE62" s="35"/>
      <c r="AF62" s="35"/>
      <c r="AG62" s="35"/>
    </row>
    <row r="63" spans="1:33" x14ac:dyDescent="0.25">
      <c r="A63" s="427" t="s">
        <v>171</v>
      </c>
      <c r="B63" s="25">
        <v>2.0089290600000003</v>
      </c>
      <c r="C63" s="25">
        <v>0</v>
      </c>
      <c r="D63" s="25">
        <v>0.19226589999999999</v>
      </c>
      <c r="E63" s="25"/>
      <c r="F63" s="427" t="s">
        <v>15</v>
      </c>
      <c r="G63" s="25">
        <v>6.0999999999999997E-4</v>
      </c>
      <c r="H63" s="25">
        <v>1.81799E-3</v>
      </c>
      <c r="I63" s="25">
        <v>4.5455490000000001E-2</v>
      </c>
      <c r="J63" s="25"/>
      <c r="K63" s="427" t="s">
        <v>156</v>
      </c>
      <c r="L63" s="25">
        <v>5.2719182599999996</v>
      </c>
      <c r="M63" s="25">
        <v>0.34405186999999998</v>
      </c>
      <c r="N63" s="25">
        <v>1.4937300200000001</v>
      </c>
      <c r="U63" s="35"/>
      <c r="V63" s="35"/>
      <c r="W63" s="35"/>
      <c r="X63" s="35"/>
      <c r="Z63" s="35"/>
      <c r="AA63" s="35"/>
      <c r="AB63" s="35"/>
      <c r="AC63" s="35"/>
      <c r="AE63" s="35"/>
      <c r="AF63" s="35"/>
      <c r="AG63" s="35"/>
    </row>
    <row r="64" spans="1:33" x14ac:dyDescent="0.25">
      <c r="A64" s="427" t="s">
        <v>178</v>
      </c>
      <c r="B64" s="25">
        <v>4.3470550000000004E-2</v>
      </c>
      <c r="C64" s="25">
        <v>0.29170825</v>
      </c>
      <c r="D64" s="25">
        <v>0.17720829000000002</v>
      </c>
      <c r="E64" s="25"/>
      <c r="F64" s="427" t="s">
        <v>143</v>
      </c>
      <c r="G64" s="25">
        <v>0</v>
      </c>
      <c r="H64" s="25">
        <v>0.52177364999999998</v>
      </c>
      <c r="I64" s="25">
        <v>4.311657E-2</v>
      </c>
      <c r="J64" s="25"/>
      <c r="K64" s="427" t="s">
        <v>4</v>
      </c>
      <c r="L64" s="25">
        <v>1.21791005</v>
      </c>
      <c r="M64" s="25">
        <v>4.5310268899999997</v>
      </c>
      <c r="N64" s="25">
        <v>1.4913186599999999</v>
      </c>
      <c r="U64" s="35"/>
      <c r="V64" s="35"/>
      <c r="W64" s="35"/>
      <c r="X64" s="35"/>
      <c r="Z64" s="35"/>
      <c r="AA64" s="35"/>
      <c r="AB64" s="35"/>
      <c r="AC64" s="35"/>
      <c r="AE64" s="35"/>
      <c r="AF64" s="35"/>
      <c r="AG64" s="35"/>
    </row>
    <row r="65" spans="1:33" x14ac:dyDescent="0.25">
      <c r="A65" s="427" t="s">
        <v>92</v>
      </c>
      <c r="B65" s="25">
        <v>0</v>
      </c>
      <c r="C65" s="25">
        <v>6.9383999999999999E-3</v>
      </c>
      <c r="D65" s="25">
        <v>0.17661457</v>
      </c>
      <c r="E65" s="25"/>
      <c r="F65" s="427" t="s">
        <v>17</v>
      </c>
      <c r="G65" s="25">
        <v>8.1086999999999999E-4</v>
      </c>
      <c r="H65" s="25">
        <v>2.2699999999999999E-4</v>
      </c>
      <c r="I65" s="25">
        <v>4.0585889999999999E-2</v>
      </c>
      <c r="J65" s="25"/>
      <c r="K65" s="427" t="s">
        <v>103</v>
      </c>
      <c r="L65" s="25">
        <v>1.13764412</v>
      </c>
      <c r="M65" s="25">
        <v>1.6194154599999999</v>
      </c>
      <c r="N65" s="25">
        <v>1.35618368</v>
      </c>
      <c r="U65" s="35"/>
      <c r="V65" s="35"/>
      <c r="W65" s="35"/>
      <c r="X65" s="35"/>
      <c r="Z65" s="35"/>
      <c r="AA65" s="35"/>
      <c r="AB65" s="35"/>
      <c r="AC65" s="35"/>
      <c r="AE65" s="35"/>
      <c r="AF65" s="35"/>
      <c r="AG65" s="35"/>
    </row>
    <row r="66" spans="1:33" x14ac:dyDescent="0.25">
      <c r="A66" s="427" t="s">
        <v>100</v>
      </c>
      <c r="B66" s="25">
        <v>5.2659199999999996E-2</v>
      </c>
      <c r="C66" s="25">
        <v>0.59451288999999996</v>
      </c>
      <c r="D66" s="25">
        <v>0.16118633999999998</v>
      </c>
      <c r="E66" s="25"/>
      <c r="F66" s="427" t="s">
        <v>19</v>
      </c>
      <c r="G66" s="25">
        <v>0</v>
      </c>
      <c r="H66" s="25">
        <v>1.65898E-3</v>
      </c>
      <c r="I66" s="25">
        <v>3.7076870000000005E-2</v>
      </c>
      <c r="J66" s="25"/>
      <c r="K66" s="427" t="s">
        <v>180</v>
      </c>
      <c r="L66" s="25">
        <v>2.4396641299999997</v>
      </c>
      <c r="M66" s="25">
        <v>2.2628115000000002</v>
      </c>
      <c r="N66" s="25">
        <v>1.3427289499999999</v>
      </c>
      <c r="U66" s="35"/>
      <c r="V66" s="35"/>
      <c r="W66" s="35"/>
      <c r="X66" s="35"/>
      <c r="Z66" s="35"/>
      <c r="AA66" s="35"/>
      <c r="AB66" s="35"/>
      <c r="AC66" s="35"/>
      <c r="AE66" s="35"/>
      <c r="AF66" s="35"/>
      <c r="AG66" s="35"/>
    </row>
    <row r="67" spans="1:33" x14ac:dyDescent="0.25">
      <c r="A67" s="427" t="s">
        <v>74</v>
      </c>
      <c r="B67" s="25">
        <v>2.570675E-2</v>
      </c>
      <c r="C67" s="25">
        <v>0.17384876999999999</v>
      </c>
      <c r="D67" s="25">
        <v>0.15752637999999999</v>
      </c>
      <c r="E67" s="25"/>
      <c r="F67" s="427" t="s">
        <v>82</v>
      </c>
      <c r="G67" s="25">
        <v>0.12594648</v>
      </c>
      <c r="H67" s="25">
        <v>1.8296990000000003E-2</v>
      </c>
      <c r="I67" s="25">
        <v>3.6315E-2</v>
      </c>
      <c r="J67" s="25"/>
      <c r="K67" s="427" t="s">
        <v>142</v>
      </c>
      <c r="L67" s="25">
        <v>0.33628365999999998</v>
      </c>
      <c r="M67" s="25">
        <v>0.25744590000000001</v>
      </c>
      <c r="N67" s="25">
        <v>1.33339929</v>
      </c>
      <c r="U67" s="35"/>
      <c r="V67" s="35"/>
      <c r="W67" s="35"/>
      <c r="X67" s="35"/>
      <c r="Z67" s="35"/>
      <c r="AA67" s="35"/>
      <c r="AB67" s="35"/>
      <c r="AC67" s="35"/>
      <c r="AE67" s="35"/>
      <c r="AF67" s="35"/>
      <c r="AG67" s="35"/>
    </row>
    <row r="68" spans="1:33" x14ac:dyDescent="0.25">
      <c r="A68" s="427" t="s">
        <v>96</v>
      </c>
      <c r="B68" s="25">
        <v>1.9352000000000001E-2</v>
      </c>
      <c r="C68" s="25">
        <v>0.41403848999999998</v>
      </c>
      <c r="D68" s="25">
        <v>0.15642571</v>
      </c>
      <c r="E68" s="25"/>
      <c r="F68" s="427" t="s">
        <v>196</v>
      </c>
      <c r="G68" s="25">
        <v>2.98731E-3</v>
      </c>
      <c r="H68" s="25">
        <v>7.4326759999999992E-2</v>
      </c>
      <c r="I68" s="25">
        <v>3.5947489999999999E-2</v>
      </c>
      <c r="J68" s="25"/>
      <c r="K68" s="427" t="s">
        <v>90</v>
      </c>
      <c r="L68" s="25">
        <v>0.29381641999999997</v>
      </c>
      <c r="M68" s="25">
        <v>2.4550405899999999</v>
      </c>
      <c r="N68" s="25">
        <v>1.32489927</v>
      </c>
      <c r="U68" s="35"/>
      <c r="V68" s="35"/>
      <c r="W68" s="35"/>
      <c r="X68" s="35"/>
      <c r="Z68" s="35"/>
      <c r="AA68" s="35"/>
      <c r="AB68" s="35"/>
      <c r="AC68" s="35"/>
      <c r="AE68" s="35"/>
      <c r="AF68" s="35"/>
      <c r="AG68" s="35"/>
    </row>
    <row r="69" spans="1:33" x14ac:dyDescent="0.25">
      <c r="A69" s="427" t="s">
        <v>160</v>
      </c>
      <c r="B69" s="25">
        <v>0.20846200000000001</v>
      </c>
      <c r="C69" s="25">
        <v>0</v>
      </c>
      <c r="D69" s="25">
        <v>0.15431729</v>
      </c>
      <c r="E69" s="25"/>
      <c r="F69" s="427" t="s">
        <v>185</v>
      </c>
      <c r="G69" s="25">
        <v>0.43086213000000001</v>
      </c>
      <c r="H69" s="25">
        <v>0</v>
      </c>
      <c r="I69" s="25">
        <v>3.5456589999999996E-2</v>
      </c>
      <c r="J69" s="25"/>
      <c r="K69" s="427" t="s">
        <v>145</v>
      </c>
      <c r="L69" s="25">
        <v>0</v>
      </c>
      <c r="M69" s="25">
        <v>0.65</v>
      </c>
      <c r="N69" s="25">
        <v>1.30493788</v>
      </c>
      <c r="U69" s="35"/>
      <c r="V69" s="35"/>
      <c r="W69" s="35"/>
      <c r="X69" s="35"/>
      <c r="Z69" s="35"/>
      <c r="AA69" s="35"/>
      <c r="AB69" s="35"/>
      <c r="AC69" s="35"/>
      <c r="AE69" s="35"/>
      <c r="AF69" s="35"/>
      <c r="AG69" s="35"/>
    </row>
    <row r="70" spans="1:33" x14ac:dyDescent="0.25">
      <c r="A70" s="427" t="s">
        <v>214</v>
      </c>
      <c r="B70" s="25">
        <v>6.9964210000000013E-2</v>
      </c>
      <c r="C70" s="25">
        <v>0.17357085999999999</v>
      </c>
      <c r="D70" s="25">
        <v>0.12867533</v>
      </c>
      <c r="E70" s="25"/>
      <c r="F70" s="427" t="s">
        <v>113</v>
      </c>
      <c r="G70" s="25">
        <v>1.9112750000000001E-2</v>
      </c>
      <c r="H70" s="25">
        <v>0.12360053999999999</v>
      </c>
      <c r="I70" s="25">
        <v>3.4878930000000002E-2</v>
      </c>
      <c r="J70" s="25"/>
      <c r="K70" s="427" t="s">
        <v>79</v>
      </c>
      <c r="L70" s="25">
        <v>0.45097017</v>
      </c>
      <c r="M70" s="25">
        <v>0.31407491999999998</v>
      </c>
      <c r="N70" s="25">
        <v>1.2213198700000001</v>
      </c>
      <c r="U70" s="35"/>
      <c r="V70" s="35"/>
      <c r="W70" s="35"/>
      <c r="X70" s="35"/>
      <c r="Z70" s="35"/>
      <c r="AA70" s="35"/>
      <c r="AB70" s="35"/>
      <c r="AC70" s="35"/>
      <c r="AE70" s="35"/>
      <c r="AF70" s="35"/>
      <c r="AG70" s="35"/>
    </row>
    <row r="71" spans="1:33" x14ac:dyDescent="0.25">
      <c r="A71" s="427" t="s">
        <v>89</v>
      </c>
      <c r="B71" s="25">
        <v>0.29407644999999999</v>
      </c>
      <c r="C71" s="25">
        <v>1.2466735900000001</v>
      </c>
      <c r="D71" s="25">
        <v>0.12247746000000001</v>
      </c>
      <c r="E71" s="25"/>
      <c r="F71" s="427" t="s">
        <v>150</v>
      </c>
      <c r="G71" s="25">
        <v>0</v>
      </c>
      <c r="H71" s="25">
        <v>0</v>
      </c>
      <c r="I71" s="25">
        <v>3.4243290000000003E-2</v>
      </c>
      <c r="J71" s="25"/>
      <c r="K71" s="427" t="s">
        <v>9</v>
      </c>
      <c r="L71" s="25">
        <v>6.3274517900000005</v>
      </c>
      <c r="M71" s="25">
        <v>1.1392157700000001</v>
      </c>
      <c r="N71" s="25">
        <v>1.1245664799999999</v>
      </c>
      <c r="U71" s="35"/>
      <c r="V71" s="35"/>
      <c r="W71" s="35"/>
      <c r="X71" s="35"/>
      <c r="Z71" s="35"/>
      <c r="AA71" s="35"/>
      <c r="AB71" s="35"/>
      <c r="AC71" s="35"/>
      <c r="AE71" s="35"/>
      <c r="AF71" s="35"/>
      <c r="AG71" s="35"/>
    </row>
    <row r="72" spans="1:33" x14ac:dyDescent="0.25">
      <c r="A72" s="427" t="s">
        <v>132</v>
      </c>
      <c r="B72" s="25">
        <v>0.69115381000000009</v>
      </c>
      <c r="C72" s="25">
        <v>2.7062460600000002</v>
      </c>
      <c r="D72" s="25">
        <v>0.11881616</v>
      </c>
      <c r="E72" s="25"/>
      <c r="F72" s="427" t="s">
        <v>66</v>
      </c>
      <c r="G72" s="25">
        <v>0</v>
      </c>
      <c r="H72" s="25">
        <v>0</v>
      </c>
      <c r="I72" s="25">
        <v>3.3159720000000004E-2</v>
      </c>
      <c r="J72" s="25"/>
      <c r="K72" s="427" t="s">
        <v>173</v>
      </c>
      <c r="L72" s="25">
        <v>2.5644216499999999</v>
      </c>
      <c r="M72" s="25">
        <v>8.7880331400000014</v>
      </c>
      <c r="N72" s="25">
        <v>1.0865670600000001</v>
      </c>
      <c r="U72" s="35"/>
      <c r="V72" s="35"/>
      <c r="W72" s="35"/>
      <c r="X72" s="35"/>
      <c r="Z72" s="35"/>
      <c r="AA72" s="35"/>
      <c r="AB72" s="35"/>
      <c r="AC72" s="35"/>
      <c r="AE72" s="35"/>
      <c r="AF72" s="35"/>
      <c r="AG72" s="35"/>
    </row>
    <row r="73" spans="1:33" x14ac:dyDescent="0.25">
      <c r="A73" s="427" t="s">
        <v>15</v>
      </c>
      <c r="B73" s="25">
        <v>0</v>
      </c>
      <c r="C73" s="25">
        <v>5.9993160000000004E-2</v>
      </c>
      <c r="D73" s="25">
        <v>0.11563949000000001</v>
      </c>
      <c r="E73" s="25"/>
      <c r="F73" s="427" t="s">
        <v>101</v>
      </c>
      <c r="G73" s="25">
        <v>0</v>
      </c>
      <c r="H73" s="25">
        <v>0</v>
      </c>
      <c r="I73" s="25">
        <v>3.2302310000000001E-2</v>
      </c>
      <c r="J73" s="25"/>
      <c r="K73" s="427" t="s">
        <v>215</v>
      </c>
      <c r="L73" s="25">
        <v>3.3329883799999998</v>
      </c>
      <c r="M73" s="25">
        <v>0.62145190000000006</v>
      </c>
      <c r="N73" s="25">
        <v>1.0467694599999999</v>
      </c>
      <c r="U73" s="35"/>
      <c r="V73" s="35"/>
      <c r="W73" s="35"/>
      <c r="X73" s="35"/>
      <c r="Z73" s="35"/>
      <c r="AA73" s="35"/>
      <c r="AB73" s="35"/>
      <c r="AC73" s="35"/>
      <c r="AE73" s="35"/>
      <c r="AF73" s="35"/>
      <c r="AG73" s="35"/>
    </row>
    <row r="74" spans="1:33" x14ac:dyDescent="0.25">
      <c r="A74" s="427" t="s">
        <v>135</v>
      </c>
      <c r="B74" s="25">
        <v>1.1414621999999999</v>
      </c>
      <c r="C74" s="25">
        <v>2.3639324400000001</v>
      </c>
      <c r="D74" s="25">
        <v>0.11316556</v>
      </c>
      <c r="E74" s="25"/>
      <c r="F74" s="427" t="s">
        <v>104</v>
      </c>
      <c r="G74" s="25">
        <v>2.862545E-2</v>
      </c>
      <c r="H74" s="25">
        <v>1.781727E-2</v>
      </c>
      <c r="I74" s="25">
        <v>3.064008E-2</v>
      </c>
      <c r="J74" s="25"/>
      <c r="K74" s="427" t="s">
        <v>119</v>
      </c>
      <c r="L74" s="25">
        <v>1.3123094900000001</v>
      </c>
      <c r="M74" s="25">
        <v>0.82651809999999992</v>
      </c>
      <c r="N74" s="25">
        <v>0.99489033999999998</v>
      </c>
      <c r="U74" s="35"/>
      <c r="V74" s="35"/>
      <c r="W74" s="35"/>
      <c r="X74" s="35"/>
      <c r="Z74" s="35"/>
      <c r="AA74" s="35"/>
      <c r="AB74" s="35"/>
      <c r="AC74" s="35"/>
      <c r="AE74" s="35"/>
      <c r="AF74" s="35"/>
      <c r="AG74" s="35"/>
    </row>
    <row r="75" spans="1:33" x14ac:dyDescent="0.25">
      <c r="A75" s="427" t="s">
        <v>177</v>
      </c>
      <c r="B75" s="25">
        <v>0.69383373999999998</v>
      </c>
      <c r="C75" s="25">
        <v>0</v>
      </c>
      <c r="D75" s="25">
        <v>0.10612317</v>
      </c>
      <c r="E75" s="25"/>
      <c r="F75" s="427" t="s">
        <v>194</v>
      </c>
      <c r="G75" s="25">
        <v>1.175E-3</v>
      </c>
      <c r="H75" s="25">
        <v>1.26103E-2</v>
      </c>
      <c r="I75" s="25">
        <v>3.0231999999999998E-2</v>
      </c>
      <c r="J75" s="25"/>
      <c r="K75" s="427" t="s">
        <v>105</v>
      </c>
      <c r="L75" s="25">
        <v>0.30625195</v>
      </c>
      <c r="M75" s="25">
        <v>2.0797880399999999</v>
      </c>
      <c r="N75" s="25">
        <v>0.98654712</v>
      </c>
      <c r="U75" s="35"/>
      <c r="V75" s="35"/>
      <c r="W75" s="35"/>
      <c r="X75" s="35"/>
      <c r="Z75" s="35"/>
      <c r="AA75" s="35"/>
      <c r="AB75" s="35"/>
      <c r="AC75" s="35"/>
      <c r="AE75" s="35"/>
      <c r="AF75" s="35"/>
      <c r="AG75" s="35"/>
    </row>
    <row r="76" spans="1:33" x14ac:dyDescent="0.25">
      <c r="A76" s="427" t="s">
        <v>185</v>
      </c>
      <c r="B76" s="25">
        <v>0.124402</v>
      </c>
      <c r="C76" s="25">
        <v>0.10219724000000001</v>
      </c>
      <c r="D76" s="25">
        <v>0.10470839</v>
      </c>
      <c r="E76" s="25"/>
      <c r="F76" s="427" t="s">
        <v>193</v>
      </c>
      <c r="G76" s="25">
        <v>2.9499999999999999E-3</v>
      </c>
      <c r="H76" s="25">
        <v>6.9326000000000006E-3</v>
      </c>
      <c r="I76" s="25">
        <v>2.9809950000000002E-2</v>
      </c>
      <c r="J76" s="25"/>
      <c r="K76" s="427" t="s">
        <v>88</v>
      </c>
      <c r="L76" s="25">
        <v>37.464631299999994</v>
      </c>
      <c r="M76" s="25">
        <v>9.2301731</v>
      </c>
      <c r="N76" s="25">
        <v>0.97919475</v>
      </c>
      <c r="U76" s="35"/>
      <c r="V76" s="35"/>
      <c r="W76" s="35"/>
      <c r="X76" s="35"/>
      <c r="Z76" s="35"/>
      <c r="AA76" s="35"/>
      <c r="AB76" s="35"/>
      <c r="AC76" s="35"/>
      <c r="AE76" s="35"/>
      <c r="AF76" s="35"/>
      <c r="AG76" s="35"/>
    </row>
    <row r="77" spans="1:33" x14ac:dyDescent="0.25">
      <c r="A77" s="427" t="s">
        <v>43</v>
      </c>
      <c r="B77" s="25">
        <v>4.7610089999999994E-2</v>
      </c>
      <c r="C77" s="25">
        <v>2.4859490000000001E-2</v>
      </c>
      <c r="D77" s="25">
        <v>0.10179734</v>
      </c>
      <c r="E77" s="25"/>
      <c r="F77" s="427" t="s">
        <v>157</v>
      </c>
      <c r="G77" s="25">
        <v>2.0008399999999998E-3</v>
      </c>
      <c r="H77" s="25">
        <v>0.67247140999999999</v>
      </c>
      <c r="I77" s="25">
        <v>2.5080849999999998E-2</v>
      </c>
      <c r="J77" s="25"/>
      <c r="K77" s="427" t="s">
        <v>132</v>
      </c>
      <c r="L77" s="25">
        <v>0.69452650999999999</v>
      </c>
      <c r="M77" s="25">
        <v>0.81676618999999995</v>
      </c>
      <c r="N77" s="25">
        <v>0.96270314000000001</v>
      </c>
      <c r="U77" s="35"/>
      <c r="V77" s="35"/>
      <c r="W77" s="35"/>
      <c r="X77" s="35"/>
      <c r="Z77" s="35"/>
      <c r="AA77" s="35"/>
      <c r="AB77" s="35"/>
      <c r="AC77" s="35"/>
      <c r="AE77" s="35"/>
      <c r="AF77" s="35"/>
      <c r="AG77" s="35"/>
    </row>
    <row r="78" spans="1:33" x14ac:dyDescent="0.25">
      <c r="A78" s="427" t="s">
        <v>209</v>
      </c>
      <c r="B78" s="25">
        <v>3.8935339999999999E-2</v>
      </c>
      <c r="C78" s="25">
        <v>2.972586E-2</v>
      </c>
      <c r="D78" s="25">
        <v>9.7592200000000004E-2</v>
      </c>
      <c r="E78" s="25"/>
      <c r="F78" s="427" t="s">
        <v>174</v>
      </c>
      <c r="G78" s="25">
        <v>1.189E-3</v>
      </c>
      <c r="H78" s="25">
        <v>5.4757230000000004E-2</v>
      </c>
      <c r="I78" s="25">
        <v>2.2989279999999997E-2</v>
      </c>
      <c r="J78" s="25"/>
      <c r="K78" s="427" t="s">
        <v>121</v>
      </c>
      <c r="L78" s="25">
        <v>1.8259669999999999</v>
      </c>
      <c r="M78" s="25">
        <v>1.1722653799999998</v>
      </c>
      <c r="N78" s="25">
        <v>0.92415000000000003</v>
      </c>
      <c r="U78" s="35"/>
      <c r="V78" s="35"/>
      <c r="W78" s="35"/>
      <c r="X78" s="35"/>
      <c r="Z78" s="35"/>
      <c r="AA78" s="35"/>
      <c r="AB78" s="35"/>
      <c r="AC78" s="35"/>
      <c r="AE78" s="35"/>
      <c r="AF78" s="35"/>
      <c r="AG78" s="35"/>
    </row>
    <row r="79" spans="1:33" x14ac:dyDescent="0.25">
      <c r="A79" s="427" t="s">
        <v>174</v>
      </c>
      <c r="B79" s="25">
        <v>1.92541E-2</v>
      </c>
      <c r="C79" s="25">
        <v>0.43668121999999998</v>
      </c>
      <c r="D79" s="25">
        <v>9.7286730000000002E-2</v>
      </c>
      <c r="E79" s="25"/>
      <c r="F79" s="427" t="s">
        <v>115</v>
      </c>
      <c r="G79" s="25">
        <v>1E-4</v>
      </c>
      <c r="H79" s="25">
        <v>4.0504999999999999E-2</v>
      </c>
      <c r="I79" s="25">
        <v>1.623469E-2</v>
      </c>
      <c r="J79" s="25"/>
      <c r="K79" s="427" t="s">
        <v>137</v>
      </c>
      <c r="L79" s="25">
        <v>0.21836454</v>
      </c>
      <c r="M79" s="25">
        <v>0.49737396</v>
      </c>
      <c r="N79" s="25">
        <v>0.91273974000000002</v>
      </c>
      <c r="U79" s="35"/>
      <c r="V79" s="35"/>
      <c r="W79" s="35"/>
      <c r="X79" s="35"/>
      <c r="Z79" s="35"/>
      <c r="AA79" s="35"/>
      <c r="AB79" s="35"/>
      <c r="AC79" s="35"/>
      <c r="AE79" s="35"/>
      <c r="AF79" s="35"/>
      <c r="AG79" s="35"/>
    </row>
    <row r="80" spans="1:33" x14ac:dyDescent="0.25">
      <c r="A80" s="427" t="s">
        <v>143</v>
      </c>
      <c r="B80" s="25">
        <v>0.81342643000000003</v>
      </c>
      <c r="C80" s="25">
        <v>0</v>
      </c>
      <c r="D80" s="25">
        <v>9.1506570000000009E-2</v>
      </c>
      <c r="E80" s="25"/>
      <c r="F80" s="427" t="s">
        <v>190</v>
      </c>
      <c r="G80" s="25">
        <v>6.783016E-2</v>
      </c>
      <c r="H80" s="25">
        <v>2.862847E-2</v>
      </c>
      <c r="I80" s="25">
        <v>1.445626E-2</v>
      </c>
      <c r="J80" s="25"/>
      <c r="K80" s="427" t="s">
        <v>134</v>
      </c>
      <c r="L80" s="25">
        <v>0.53262942000000002</v>
      </c>
      <c r="M80" s="25">
        <v>0.78639148000000003</v>
      </c>
      <c r="N80" s="25">
        <v>0.86725218999999998</v>
      </c>
      <c r="U80" s="35"/>
      <c r="V80" s="35"/>
      <c r="W80" s="35"/>
      <c r="X80" s="35"/>
      <c r="Z80" s="35"/>
      <c r="AA80" s="35"/>
      <c r="AB80" s="35"/>
      <c r="AC80" s="35"/>
      <c r="AE80" s="35"/>
      <c r="AF80" s="35"/>
      <c r="AG80" s="35"/>
    </row>
    <row r="81" spans="1:33" x14ac:dyDescent="0.25">
      <c r="A81" s="427" t="s">
        <v>93</v>
      </c>
      <c r="B81" s="25">
        <v>5.0554699999999994E-2</v>
      </c>
      <c r="C81" s="25">
        <v>8.7860729999999998E-2</v>
      </c>
      <c r="D81" s="25">
        <v>9.0061450000000001E-2</v>
      </c>
      <c r="E81" s="25"/>
      <c r="F81" s="427" t="s">
        <v>54</v>
      </c>
      <c r="G81" s="25">
        <v>7.8438399999999995E-3</v>
      </c>
      <c r="H81" s="25">
        <v>5.6899999999999997E-3</v>
      </c>
      <c r="I81" s="25">
        <v>1.226264E-2</v>
      </c>
      <c r="J81" s="25"/>
      <c r="K81" s="427" t="s">
        <v>83</v>
      </c>
      <c r="L81" s="25">
        <v>1.1889424099999999</v>
      </c>
      <c r="M81" s="25">
        <v>0.73820726000000003</v>
      </c>
      <c r="N81" s="25">
        <v>0.84511658999999995</v>
      </c>
      <c r="U81" s="35"/>
      <c r="V81" s="35"/>
      <c r="W81" s="35"/>
      <c r="X81" s="35"/>
      <c r="Z81" s="35"/>
      <c r="AA81" s="35"/>
      <c r="AB81" s="35"/>
      <c r="AC81" s="35"/>
      <c r="AE81" s="35"/>
      <c r="AF81" s="35"/>
      <c r="AG81" s="35"/>
    </row>
    <row r="82" spans="1:33" x14ac:dyDescent="0.25">
      <c r="A82" s="427" t="s">
        <v>162</v>
      </c>
      <c r="B82" s="25">
        <v>2.4803140699999999</v>
      </c>
      <c r="C82" s="25">
        <v>6.0118599999999999E-3</v>
      </c>
      <c r="D82" s="25">
        <v>8.4025269999999999E-2</v>
      </c>
      <c r="E82" s="25"/>
      <c r="F82" s="427" t="s">
        <v>106</v>
      </c>
      <c r="G82" s="25">
        <v>3.8946790000000002E-2</v>
      </c>
      <c r="H82" s="25">
        <v>3.6572559999999997E-2</v>
      </c>
      <c r="I82" s="25">
        <v>1.213E-2</v>
      </c>
      <c r="J82" s="25"/>
      <c r="K82" s="427" t="s">
        <v>163</v>
      </c>
      <c r="L82" s="25">
        <v>0.43563342999999999</v>
      </c>
      <c r="M82" s="25">
        <v>4.5718151699999998</v>
      </c>
      <c r="N82" s="25">
        <v>0.73930136000000002</v>
      </c>
      <c r="U82" s="35"/>
      <c r="V82" s="35"/>
      <c r="W82" s="35"/>
      <c r="X82" s="35"/>
      <c r="Z82" s="35"/>
      <c r="AA82" s="35"/>
      <c r="AB82" s="35"/>
      <c r="AC82" s="35"/>
      <c r="AE82" s="35"/>
      <c r="AF82" s="35"/>
      <c r="AG82" s="35"/>
    </row>
    <row r="83" spans="1:33" x14ac:dyDescent="0.25">
      <c r="A83" s="427" t="s">
        <v>193</v>
      </c>
      <c r="B83" s="25">
        <v>1.5E-3</v>
      </c>
      <c r="C83" s="25">
        <v>3.81417E-3</v>
      </c>
      <c r="D83" s="25">
        <v>8.3043909999999999E-2</v>
      </c>
      <c r="E83" s="25"/>
      <c r="F83" s="427" t="s">
        <v>73</v>
      </c>
      <c r="G83" s="25">
        <v>0</v>
      </c>
      <c r="H83" s="25">
        <v>0</v>
      </c>
      <c r="I83" s="25">
        <v>1.180028E-2</v>
      </c>
      <c r="J83" s="25"/>
      <c r="K83" s="427" t="s">
        <v>100</v>
      </c>
      <c r="L83" s="25">
        <v>0.25598185000000001</v>
      </c>
      <c r="M83" s="25">
        <v>0.24165691</v>
      </c>
      <c r="N83" s="25">
        <v>0.71243318999999994</v>
      </c>
      <c r="U83" s="35"/>
      <c r="V83" s="35"/>
      <c r="W83" s="35"/>
      <c r="X83" s="35"/>
      <c r="Z83" s="35"/>
      <c r="AA83" s="35"/>
      <c r="AB83" s="35"/>
      <c r="AC83" s="35"/>
      <c r="AE83" s="35"/>
      <c r="AF83" s="35"/>
      <c r="AG83" s="35"/>
    </row>
    <row r="84" spans="1:33" x14ac:dyDescent="0.25">
      <c r="A84" s="427" t="s">
        <v>167</v>
      </c>
      <c r="B84" s="25">
        <v>8.0000000000000002E-3</v>
      </c>
      <c r="C84" s="25">
        <v>0</v>
      </c>
      <c r="D84" s="25">
        <v>7.9544339999999991E-2</v>
      </c>
      <c r="E84" s="25"/>
      <c r="F84" s="427" t="s">
        <v>93</v>
      </c>
      <c r="G84" s="25">
        <v>4.9561199999999996E-3</v>
      </c>
      <c r="H84" s="25">
        <v>0</v>
      </c>
      <c r="I84" s="25">
        <v>1.062866E-2</v>
      </c>
      <c r="J84" s="25"/>
      <c r="K84" s="427" t="s">
        <v>60</v>
      </c>
      <c r="L84" s="25">
        <v>0.69331713000000006</v>
      </c>
      <c r="M84" s="25">
        <v>0.24874907000000002</v>
      </c>
      <c r="N84" s="25">
        <v>0.69590890000000005</v>
      </c>
      <c r="U84" s="35"/>
      <c r="V84" s="35"/>
      <c r="W84" s="35"/>
      <c r="X84" s="35"/>
      <c r="Z84" s="35"/>
      <c r="AA84" s="35"/>
      <c r="AB84" s="35"/>
      <c r="AC84" s="35"/>
      <c r="AE84" s="35"/>
      <c r="AF84" s="35"/>
      <c r="AG84" s="35"/>
    </row>
    <row r="85" spans="1:33" x14ac:dyDescent="0.25">
      <c r="A85" s="427" t="s">
        <v>200</v>
      </c>
      <c r="B85" s="25">
        <v>0</v>
      </c>
      <c r="C85" s="25">
        <v>0</v>
      </c>
      <c r="D85" s="25">
        <v>7.940345E-2</v>
      </c>
      <c r="E85" s="25"/>
      <c r="F85" s="427" t="s">
        <v>175</v>
      </c>
      <c r="G85" s="25">
        <v>0</v>
      </c>
      <c r="H85" s="25">
        <v>0.75624100000000005</v>
      </c>
      <c r="I85" s="25">
        <v>1.0343E-2</v>
      </c>
      <c r="J85" s="25"/>
      <c r="K85" s="427" t="s">
        <v>162</v>
      </c>
      <c r="L85" s="25">
        <v>0.19848625</v>
      </c>
      <c r="M85" s="25">
        <v>8.8421896999999987</v>
      </c>
      <c r="N85" s="25">
        <v>0.69030231000000009</v>
      </c>
      <c r="U85" s="35"/>
      <c r="V85" s="35"/>
      <c r="W85" s="35"/>
      <c r="X85" s="35"/>
      <c r="Z85" s="35"/>
      <c r="AA85" s="35"/>
      <c r="AB85" s="35"/>
      <c r="AC85" s="35"/>
      <c r="AE85" s="35"/>
      <c r="AF85" s="35"/>
      <c r="AG85" s="35"/>
    </row>
    <row r="86" spans="1:33" x14ac:dyDescent="0.25">
      <c r="A86" s="427" t="s">
        <v>208</v>
      </c>
      <c r="B86" s="25">
        <v>0.22386237</v>
      </c>
      <c r="C86" s="25">
        <v>0.6073829300000001</v>
      </c>
      <c r="D86" s="25">
        <v>7.3467679999999994E-2</v>
      </c>
      <c r="E86" s="25"/>
      <c r="F86" s="427" t="s">
        <v>28</v>
      </c>
      <c r="G86" s="25">
        <v>0.30649609999999999</v>
      </c>
      <c r="H86" s="25">
        <v>3.6657290000000002E-2</v>
      </c>
      <c r="I86" s="25">
        <v>1.022966E-2</v>
      </c>
      <c r="J86" s="25"/>
      <c r="K86" s="427" t="s">
        <v>127</v>
      </c>
      <c r="L86" s="25">
        <v>1.84932626</v>
      </c>
      <c r="M86" s="25">
        <v>1.0648400099999999</v>
      </c>
      <c r="N86" s="25">
        <v>0.63779734999999993</v>
      </c>
      <c r="U86" s="35"/>
      <c r="V86" s="35"/>
      <c r="W86" s="35"/>
      <c r="X86" s="35"/>
      <c r="Z86" s="35"/>
      <c r="AA86" s="35"/>
      <c r="AB86" s="35"/>
      <c r="AC86" s="35"/>
      <c r="AE86" s="35"/>
      <c r="AF86" s="35"/>
      <c r="AG86" s="35"/>
    </row>
    <row r="87" spans="1:33" x14ac:dyDescent="0.25">
      <c r="A87" s="427" t="s">
        <v>196</v>
      </c>
      <c r="B87" s="25">
        <v>6.71084E-3</v>
      </c>
      <c r="C87" s="25">
        <v>0.11762056</v>
      </c>
      <c r="D87" s="25">
        <v>6.8463280000000001E-2</v>
      </c>
      <c r="E87" s="25"/>
      <c r="F87" s="427" t="s">
        <v>51</v>
      </c>
      <c r="G87" s="25">
        <v>1.483932E-2</v>
      </c>
      <c r="H87" s="25">
        <v>7.5059999999999997E-3</v>
      </c>
      <c r="I87" s="25">
        <v>9.3268199999999996E-3</v>
      </c>
      <c r="J87" s="25"/>
      <c r="K87" s="427" t="s">
        <v>76</v>
      </c>
      <c r="L87" s="25">
        <v>1.6541848899999998</v>
      </c>
      <c r="M87" s="25">
        <v>4.0277960000000002E-2</v>
      </c>
      <c r="N87" s="25">
        <v>0.61513688</v>
      </c>
      <c r="U87" s="35"/>
      <c r="V87" s="35"/>
      <c r="W87" s="35"/>
      <c r="X87" s="35"/>
      <c r="Z87" s="35"/>
      <c r="AA87" s="35"/>
      <c r="AB87" s="35"/>
      <c r="AC87" s="35"/>
      <c r="AE87" s="35"/>
      <c r="AF87" s="35"/>
      <c r="AG87" s="35"/>
    </row>
    <row r="88" spans="1:33" x14ac:dyDescent="0.25">
      <c r="A88" s="427" t="s">
        <v>133</v>
      </c>
      <c r="B88" s="25">
        <v>0.28045154</v>
      </c>
      <c r="C88" s="25">
        <v>0.33335134999999999</v>
      </c>
      <c r="D88" s="25">
        <v>6.7737560000000002E-2</v>
      </c>
      <c r="E88" s="25"/>
      <c r="F88" s="427" t="s">
        <v>209</v>
      </c>
      <c r="G88" s="25">
        <v>3.9558949999999996E-2</v>
      </c>
      <c r="H88" s="25">
        <v>6.293E-3</v>
      </c>
      <c r="I88" s="25">
        <v>8.4100100000000007E-3</v>
      </c>
      <c r="J88" s="25"/>
      <c r="K88" s="427" t="s">
        <v>159</v>
      </c>
      <c r="L88" s="25">
        <v>1.6910035000000001</v>
      </c>
      <c r="M88" s="25">
        <v>1.6432068200000001</v>
      </c>
      <c r="N88" s="25">
        <v>0.56221935000000001</v>
      </c>
      <c r="U88" s="35"/>
      <c r="V88" s="35"/>
      <c r="W88" s="35"/>
      <c r="X88" s="35"/>
      <c r="Z88" s="35"/>
      <c r="AA88" s="35"/>
      <c r="AB88" s="35"/>
      <c r="AC88" s="35"/>
      <c r="AE88" s="35"/>
      <c r="AF88" s="35"/>
      <c r="AG88" s="35"/>
    </row>
    <row r="89" spans="1:33" x14ac:dyDescent="0.25">
      <c r="A89" s="427" t="s">
        <v>195</v>
      </c>
      <c r="B89" s="25">
        <v>3.9307080000000001E-2</v>
      </c>
      <c r="C89" s="25">
        <v>4.5999999999999999E-3</v>
      </c>
      <c r="D89" s="25">
        <v>6.6746159999999999E-2</v>
      </c>
      <c r="E89" s="25"/>
      <c r="F89" s="427" t="s">
        <v>154</v>
      </c>
      <c r="G89" s="25">
        <v>0</v>
      </c>
      <c r="H89" s="25">
        <v>3.4975000000000002E-4</v>
      </c>
      <c r="I89" s="25">
        <v>8.3006799999999995E-3</v>
      </c>
      <c r="J89" s="25"/>
      <c r="K89" s="427" t="s">
        <v>33</v>
      </c>
      <c r="L89" s="25">
        <v>0</v>
      </c>
      <c r="M89" s="25">
        <v>0</v>
      </c>
      <c r="N89" s="25">
        <v>0.49875000000000003</v>
      </c>
      <c r="U89" s="35"/>
      <c r="V89" s="35"/>
      <c r="W89" s="35"/>
      <c r="X89" s="35"/>
      <c r="Z89" s="35"/>
      <c r="AA89" s="35"/>
      <c r="AB89" s="35"/>
      <c r="AC89" s="35"/>
      <c r="AE89" s="35"/>
      <c r="AF89" s="35"/>
      <c r="AG89" s="35"/>
    </row>
    <row r="90" spans="1:33" x14ac:dyDescent="0.25">
      <c r="A90" s="427" t="s">
        <v>197</v>
      </c>
      <c r="B90" s="25">
        <v>3.9607919999999998E-2</v>
      </c>
      <c r="C90" s="25">
        <v>0.11582969999999999</v>
      </c>
      <c r="D90" s="25">
        <v>6.2033360000000003E-2</v>
      </c>
      <c r="E90" s="25"/>
      <c r="F90" s="427" t="s">
        <v>178</v>
      </c>
      <c r="G90" s="25">
        <v>1.8793380000000002E-2</v>
      </c>
      <c r="H90" s="25">
        <v>0.13492501000000001</v>
      </c>
      <c r="I90" s="25">
        <v>7.3583900000000002E-3</v>
      </c>
      <c r="J90" s="25"/>
      <c r="K90" s="427" t="s">
        <v>184</v>
      </c>
      <c r="L90" s="25">
        <v>2.1910280000000002</v>
      </c>
      <c r="M90" s="25">
        <v>0.32840553</v>
      </c>
      <c r="N90" s="25">
        <v>0.49808400000000003</v>
      </c>
      <c r="U90" s="35"/>
      <c r="V90" s="35"/>
      <c r="W90" s="35"/>
      <c r="X90" s="35"/>
      <c r="Z90" s="35"/>
      <c r="AA90" s="35"/>
      <c r="AB90" s="35"/>
      <c r="AC90" s="35"/>
      <c r="AE90" s="35"/>
      <c r="AF90" s="35"/>
      <c r="AG90" s="35"/>
    </row>
    <row r="91" spans="1:33" x14ac:dyDescent="0.25">
      <c r="A91" s="427" t="s">
        <v>87</v>
      </c>
      <c r="B91" s="25">
        <v>0</v>
      </c>
      <c r="C91" s="25">
        <v>0</v>
      </c>
      <c r="D91" s="25">
        <v>5.9851540000000002E-2</v>
      </c>
      <c r="E91" s="25"/>
      <c r="F91" s="427" t="s">
        <v>177</v>
      </c>
      <c r="G91" s="25">
        <v>8.1599999999999999E-4</v>
      </c>
      <c r="H91" s="25">
        <v>1.833684E-2</v>
      </c>
      <c r="I91" s="25">
        <v>6.8943100000000007E-3</v>
      </c>
      <c r="J91" s="25"/>
      <c r="K91" s="427" t="s">
        <v>44</v>
      </c>
      <c r="L91" s="25">
        <v>1.329094</v>
      </c>
      <c r="M91" s="25">
        <v>0.56371700000000002</v>
      </c>
      <c r="N91" s="25">
        <v>0.48550859999999996</v>
      </c>
      <c r="U91" s="35"/>
      <c r="V91" s="35"/>
      <c r="W91" s="35"/>
      <c r="X91" s="35"/>
      <c r="Z91" s="35"/>
      <c r="AA91" s="35"/>
      <c r="AB91" s="35"/>
      <c r="AC91" s="35"/>
      <c r="AE91" s="35"/>
      <c r="AF91" s="35"/>
      <c r="AG91" s="35"/>
    </row>
    <row r="92" spans="1:33" x14ac:dyDescent="0.25">
      <c r="A92" s="427" t="s">
        <v>119</v>
      </c>
      <c r="B92" s="25">
        <v>0</v>
      </c>
      <c r="C92" s="25">
        <v>8.7874999999999997E-4</v>
      </c>
      <c r="D92" s="25">
        <v>5.7425830000000004E-2</v>
      </c>
      <c r="E92" s="25"/>
      <c r="F92" s="427" t="s">
        <v>96</v>
      </c>
      <c r="G92" s="25">
        <v>1.28279E-3</v>
      </c>
      <c r="H92" s="25">
        <v>9.503639999999999E-3</v>
      </c>
      <c r="I92" s="25">
        <v>6.8109099999999999E-3</v>
      </c>
      <c r="J92" s="25"/>
      <c r="K92" s="427" t="s">
        <v>112</v>
      </c>
      <c r="L92" s="25">
        <v>1.13199201</v>
      </c>
      <c r="M92" s="25">
        <v>0.36062514000000001</v>
      </c>
      <c r="N92" s="25">
        <v>0.46889802000000003</v>
      </c>
      <c r="U92" s="35"/>
      <c r="V92" s="35"/>
      <c r="W92" s="35"/>
      <c r="X92" s="35"/>
      <c r="Z92" s="35"/>
      <c r="AA92" s="35"/>
      <c r="AB92" s="35"/>
      <c r="AC92" s="35"/>
      <c r="AE92" s="35"/>
      <c r="AF92" s="35"/>
      <c r="AG92" s="35"/>
    </row>
    <row r="93" spans="1:33" x14ac:dyDescent="0.25">
      <c r="A93" s="427" t="s">
        <v>31</v>
      </c>
      <c r="B93" s="25">
        <v>5.7421736799999996</v>
      </c>
      <c r="C93" s="25">
        <v>0.16345120000000002</v>
      </c>
      <c r="D93" s="25">
        <v>5.4618779999999999E-2</v>
      </c>
      <c r="E93" s="25"/>
      <c r="F93" s="427" t="s">
        <v>80</v>
      </c>
      <c r="G93" s="25">
        <v>1.289007E-2</v>
      </c>
      <c r="H93" s="25">
        <v>1.4933750000000001E-2</v>
      </c>
      <c r="I93" s="25">
        <v>6.6801000000000004E-3</v>
      </c>
      <c r="J93" s="25"/>
      <c r="K93" s="427" t="s">
        <v>368</v>
      </c>
      <c r="L93" s="25">
        <v>0</v>
      </c>
      <c r="M93" s="25">
        <v>0.45881571000000004</v>
      </c>
      <c r="N93" s="25">
        <v>0.4566133</v>
      </c>
      <c r="U93" s="35"/>
      <c r="V93" s="35"/>
      <c r="W93" s="35"/>
      <c r="X93" s="35"/>
      <c r="Z93" s="35"/>
      <c r="AA93" s="35"/>
      <c r="AB93" s="35"/>
      <c r="AC93" s="35"/>
      <c r="AE93" s="35"/>
      <c r="AF93" s="35"/>
      <c r="AG93" s="35"/>
    </row>
    <row r="94" spans="1:33" x14ac:dyDescent="0.25">
      <c r="A94" s="427" t="s">
        <v>191</v>
      </c>
      <c r="B94" s="25">
        <v>0</v>
      </c>
      <c r="C94" s="25">
        <v>1.8573080000000002E-2</v>
      </c>
      <c r="D94" s="25">
        <v>5.1186910000000002E-2</v>
      </c>
      <c r="E94" s="25"/>
      <c r="F94" s="427" t="s">
        <v>199</v>
      </c>
      <c r="G94" s="25">
        <v>0</v>
      </c>
      <c r="H94" s="25">
        <v>0</v>
      </c>
      <c r="I94" s="25">
        <v>5.4999999999999997E-3</v>
      </c>
      <c r="J94" s="25"/>
      <c r="K94" s="427" t="s">
        <v>181</v>
      </c>
      <c r="L94" s="25">
        <v>6.6016740000000004E-2</v>
      </c>
      <c r="M94" s="25">
        <v>0.33767320000000001</v>
      </c>
      <c r="N94" s="25">
        <v>0.43129624</v>
      </c>
      <c r="U94" s="35"/>
      <c r="V94" s="35"/>
      <c r="W94" s="35"/>
      <c r="X94" s="35"/>
      <c r="Z94" s="35"/>
      <c r="AA94" s="35"/>
      <c r="AB94" s="35"/>
      <c r="AC94" s="35"/>
      <c r="AE94" s="35"/>
      <c r="AF94" s="35"/>
      <c r="AG94" s="35"/>
    </row>
    <row r="95" spans="1:33" x14ac:dyDescent="0.25">
      <c r="A95" s="427" t="s">
        <v>207</v>
      </c>
      <c r="B95" s="25">
        <v>4.5866019999999993E-2</v>
      </c>
      <c r="C95" s="25">
        <v>4.5222890000000002E-2</v>
      </c>
      <c r="D95" s="25">
        <v>5.0138240000000001E-2</v>
      </c>
      <c r="E95" s="25"/>
      <c r="F95" s="427" t="s">
        <v>180</v>
      </c>
      <c r="G95" s="25">
        <v>1.29771E-2</v>
      </c>
      <c r="H95" s="25">
        <v>0.15814396999999999</v>
      </c>
      <c r="I95" s="25">
        <v>5.21004E-3</v>
      </c>
      <c r="J95" s="25"/>
      <c r="K95" s="427" t="s">
        <v>144</v>
      </c>
      <c r="L95" s="25">
        <v>9.8648330000000006E-2</v>
      </c>
      <c r="M95" s="25">
        <v>1.68909094</v>
      </c>
      <c r="N95" s="25">
        <v>0.43106354999999996</v>
      </c>
      <c r="U95" s="35"/>
      <c r="V95" s="35"/>
      <c r="W95" s="35"/>
      <c r="X95" s="35"/>
      <c r="Z95" s="35"/>
      <c r="AA95" s="35"/>
      <c r="AB95" s="35"/>
      <c r="AC95" s="35"/>
      <c r="AE95" s="35"/>
      <c r="AF95" s="35"/>
      <c r="AG95" s="35"/>
    </row>
    <row r="96" spans="1:33" x14ac:dyDescent="0.25">
      <c r="A96" s="427" t="s">
        <v>142</v>
      </c>
      <c r="B96" s="25">
        <v>0.19078999999999999</v>
      </c>
      <c r="C96" s="25">
        <v>0</v>
      </c>
      <c r="D96" s="25">
        <v>4.5846980000000002E-2</v>
      </c>
      <c r="E96" s="25"/>
      <c r="F96" s="427" t="s">
        <v>119</v>
      </c>
      <c r="G96" s="25">
        <v>1.353E-2</v>
      </c>
      <c r="H96" s="25">
        <v>9.5177E-4</v>
      </c>
      <c r="I96" s="25">
        <v>4.8074099999999998E-3</v>
      </c>
      <c r="J96" s="25"/>
      <c r="K96" s="427" t="s">
        <v>126</v>
      </c>
      <c r="L96" s="25">
        <v>5.5970000000000004E-3</v>
      </c>
      <c r="M96" s="25">
        <v>8.5818279999999997E-2</v>
      </c>
      <c r="N96" s="25">
        <v>0.42510734999999999</v>
      </c>
      <c r="U96" s="35"/>
      <c r="V96" s="35"/>
      <c r="W96" s="35"/>
      <c r="X96" s="35"/>
      <c r="Z96" s="35"/>
      <c r="AA96" s="35"/>
      <c r="AB96" s="35"/>
      <c r="AC96" s="35"/>
      <c r="AE96" s="35"/>
      <c r="AF96" s="35"/>
      <c r="AG96" s="35"/>
    </row>
    <row r="97" spans="1:33" x14ac:dyDescent="0.25">
      <c r="A97" s="427" t="s">
        <v>88</v>
      </c>
      <c r="B97" s="25">
        <v>1.0594272499999999</v>
      </c>
      <c r="C97" s="25">
        <v>2.3181744500000003</v>
      </c>
      <c r="D97" s="25">
        <v>4.4009199999999998E-2</v>
      </c>
      <c r="E97" s="25"/>
      <c r="F97" s="427" t="s">
        <v>159</v>
      </c>
      <c r="G97" s="25">
        <v>0.22060870999999999</v>
      </c>
      <c r="H97" s="25">
        <v>0.55286913999999998</v>
      </c>
      <c r="I97" s="25">
        <v>4.0665700000000003E-3</v>
      </c>
      <c r="J97" s="25"/>
      <c r="K97" s="427" t="s">
        <v>69</v>
      </c>
      <c r="L97" s="25">
        <v>1.6480000000000002E-4</v>
      </c>
      <c r="M97" s="25">
        <v>7.7280210000000002E-2</v>
      </c>
      <c r="N97" s="25">
        <v>0.40548600000000001</v>
      </c>
      <c r="U97" s="35"/>
      <c r="V97" s="35"/>
      <c r="W97" s="35"/>
      <c r="X97" s="35"/>
      <c r="Z97" s="35"/>
      <c r="AA97" s="35"/>
      <c r="AB97" s="35"/>
      <c r="AC97" s="35"/>
      <c r="AE97" s="35"/>
      <c r="AF97" s="35"/>
      <c r="AG97" s="35"/>
    </row>
    <row r="98" spans="1:33" x14ac:dyDescent="0.25">
      <c r="A98" s="427" t="s">
        <v>204</v>
      </c>
      <c r="B98" s="25">
        <v>0</v>
      </c>
      <c r="C98" s="25">
        <v>0</v>
      </c>
      <c r="D98" s="25">
        <v>3.9975139999999999E-2</v>
      </c>
      <c r="E98" s="25"/>
      <c r="F98" s="427" t="s">
        <v>29</v>
      </c>
      <c r="G98" s="25">
        <v>5.4211299999999997E-3</v>
      </c>
      <c r="H98" s="25">
        <v>4.2386000000000002E-4</v>
      </c>
      <c r="I98" s="25">
        <v>3.7600100000000003E-3</v>
      </c>
      <c r="J98" s="25"/>
      <c r="K98" s="427" t="s">
        <v>166</v>
      </c>
      <c r="L98" s="25">
        <v>0.23008563000000001</v>
      </c>
      <c r="M98" s="25">
        <v>0.69640067000000005</v>
      </c>
      <c r="N98" s="25">
        <v>0.39594706000000002</v>
      </c>
      <c r="U98" s="35"/>
      <c r="V98" s="35"/>
      <c r="W98" s="35"/>
      <c r="X98" s="35"/>
      <c r="Z98" s="35"/>
      <c r="AA98" s="35"/>
      <c r="AB98" s="35"/>
      <c r="AC98" s="35"/>
      <c r="AE98" s="35"/>
      <c r="AF98" s="35"/>
      <c r="AG98" s="35"/>
    </row>
    <row r="99" spans="1:33" x14ac:dyDescent="0.25">
      <c r="A99" s="427" t="s">
        <v>81</v>
      </c>
      <c r="B99" s="25">
        <v>2.248035E-2</v>
      </c>
      <c r="C99" s="25">
        <v>0.17061466</v>
      </c>
      <c r="D99" s="25">
        <v>3.811146E-2</v>
      </c>
      <c r="E99" s="25"/>
      <c r="F99" s="427" t="s">
        <v>210</v>
      </c>
      <c r="G99" s="25">
        <v>5.5911199999999998E-3</v>
      </c>
      <c r="H99" s="25">
        <v>6.8430000000000005E-2</v>
      </c>
      <c r="I99" s="25">
        <v>3.5400000000000002E-3</v>
      </c>
      <c r="J99" s="25"/>
      <c r="K99" s="427" t="s">
        <v>5</v>
      </c>
      <c r="L99" s="25">
        <v>0.21791798000000001</v>
      </c>
      <c r="M99" s="25">
        <v>0.28695696999999998</v>
      </c>
      <c r="N99" s="25">
        <v>0.38279871999999998</v>
      </c>
      <c r="U99" s="35"/>
      <c r="V99" s="35"/>
      <c r="W99" s="35"/>
      <c r="X99" s="35"/>
      <c r="Z99" s="35"/>
      <c r="AA99" s="35"/>
      <c r="AB99" s="35"/>
      <c r="AC99" s="35"/>
      <c r="AE99" s="35"/>
      <c r="AF99" s="35"/>
      <c r="AG99" s="35"/>
    </row>
    <row r="100" spans="1:33" x14ac:dyDescent="0.25">
      <c r="A100" s="427" t="s">
        <v>75</v>
      </c>
      <c r="B100" s="25">
        <v>0.10937519999999999</v>
      </c>
      <c r="C100" s="25">
        <v>9.8559999999999995E-2</v>
      </c>
      <c r="D100" s="25">
        <v>3.7761000000000003E-2</v>
      </c>
      <c r="E100" s="25"/>
      <c r="F100" s="427" t="s">
        <v>156</v>
      </c>
      <c r="G100" s="25">
        <v>5.1000000000000004E-4</v>
      </c>
      <c r="H100" s="25">
        <v>0.22019207000000002</v>
      </c>
      <c r="I100" s="25">
        <v>3.5000000000000001E-3</v>
      </c>
      <c r="J100" s="25"/>
      <c r="K100" s="427" t="s">
        <v>29</v>
      </c>
      <c r="L100" s="25">
        <v>0.3635603</v>
      </c>
      <c r="M100" s="25">
        <v>0.17244923000000001</v>
      </c>
      <c r="N100" s="25">
        <v>0.36488425000000002</v>
      </c>
      <c r="U100" s="35"/>
      <c r="V100" s="35"/>
      <c r="W100" s="35"/>
      <c r="X100" s="35"/>
      <c r="Z100" s="35"/>
      <c r="AA100" s="35"/>
      <c r="AB100" s="35"/>
      <c r="AC100" s="35"/>
      <c r="AE100" s="35"/>
      <c r="AF100" s="35"/>
      <c r="AG100" s="35"/>
    </row>
    <row r="101" spans="1:33" x14ac:dyDescent="0.25">
      <c r="A101" s="427" t="s">
        <v>159</v>
      </c>
      <c r="B101" s="25">
        <v>8.186228999999999E-2</v>
      </c>
      <c r="C101" s="25">
        <v>4.2823500000000007E-3</v>
      </c>
      <c r="D101" s="25">
        <v>3.6322E-2</v>
      </c>
      <c r="E101" s="25"/>
      <c r="F101" s="427" t="s">
        <v>192</v>
      </c>
      <c r="G101" s="25">
        <v>1.3823999999999999E-2</v>
      </c>
      <c r="H101" s="25">
        <v>3.7470000000000003E-2</v>
      </c>
      <c r="I101" s="25">
        <v>2.2309999999999999E-3</v>
      </c>
      <c r="J101" s="25"/>
      <c r="K101" s="427" t="s">
        <v>174</v>
      </c>
      <c r="L101" s="25">
        <v>7.7759710499999999</v>
      </c>
      <c r="M101" s="25">
        <v>2.34184137</v>
      </c>
      <c r="N101" s="25">
        <v>0.34393443000000001</v>
      </c>
      <c r="U101" s="35"/>
      <c r="V101" s="35"/>
      <c r="W101" s="35"/>
      <c r="X101" s="35"/>
      <c r="Z101" s="35"/>
      <c r="AA101" s="35"/>
      <c r="AB101" s="35"/>
      <c r="AC101" s="35"/>
      <c r="AE101" s="35"/>
      <c r="AF101" s="35"/>
      <c r="AG101" s="35"/>
    </row>
    <row r="102" spans="1:33" x14ac:dyDescent="0.25">
      <c r="A102" s="427" t="s">
        <v>176</v>
      </c>
      <c r="B102" s="25">
        <v>1.0200000000000001E-2</v>
      </c>
      <c r="C102" s="25">
        <v>0</v>
      </c>
      <c r="D102" s="25">
        <v>3.1928860000000003E-2</v>
      </c>
      <c r="E102" s="25"/>
      <c r="F102" s="427" t="s">
        <v>172</v>
      </c>
      <c r="G102" s="25">
        <v>3.0058120000000001E-2</v>
      </c>
      <c r="H102" s="25">
        <v>6.11336E-3</v>
      </c>
      <c r="I102" s="25">
        <v>2.06266E-3</v>
      </c>
      <c r="J102" s="25"/>
      <c r="K102" s="427" t="s">
        <v>26</v>
      </c>
      <c r="L102" s="25">
        <v>5.2434660000000001E-2</v>
      </c>
      <c r="M102" s="25">
        <v>2.9628950000000001E-2</v>
      </c>
      <c r="N102" s="25">
        <v>0.33753358</v>
      </c>
      <c r="U102" s="35"/>
      <c r="V102" s="35"/>
      <c r="W102" s="35"/>
      <c r="X102" s="35"/>
      <c r="Z102" s="35"/>
      <c r="AA102" s="35"/>
      <c r="AB102" s="35"/>
      <c r="AC102" s="35"/>
      <c r="AE102" s="35"/>
      <c r="AF102" s="35"/>
      <c r="AG102" s="35"/>
    </row>
    <row r="103" spans="1:33" x14ac:dyDescent="0.25">
      <c r="A103" s="427" t="s">
        <v>107</v>
      </c>
      <c r="B103" s="25">
        <v>0</v>
      </c>
      <c r="C103" s="25">
        <v>0</v>
      </c>
      <c r="D103" s="25">
        <v>0.03</v>
      </c>
      <c r="E103" s="25"/>
      <c r="F103" s="427" t="s">
        <v>47</v>
      </c>
      <c r="G103" s="25">
        <v>1.2821199999999999E-3</v>
      </c>
      <c r="H103" s="25">
        <v>4.0248200000000001E-3</v>
      </c>
      <c r="I103" s="25">
        <v>2.0548699999999999E-3</v>
      </c>
      <c r="J103" s="25"/>
      <c r="K103" s="427" t="s">
        <v>153</v>
      </c>
      <c r="L103" s="25">
        <v>0</v>
      </c>
      <c r="M103" s="25">
        <v>9.6000000000000002E-5</v>
      </c>
      <c r="N103" s="25">
        <v>0.31825398999999999</v>
      </c>
      <c r="U103" s="35"/>
      <c r="V103" s="35"/>
      <c r="W103" s="35"/>
      <c r="X103" s="35"/>
      <c r="Z103" s="35"/>
      <c r="AA103" s="35"/>
      <c r="AB103" s="35"/>
      <c r="AC103" s="35"/>
      <c r="AE103" s="35"/>
      <c r="AF103" s="35"/>
      <c r="AG103" s="35"/>
    </row>
    <row r="104" spans="1:33" x14ac:dyDescent="0.25">
      <c r="A104" s="427" t="s">
        <v>90</v>
      </c>
      <c r="B104" s="25">
        <v>4.5703319999999999E-2</v>
      </c>
      <c r="C104" s="25">
        <v>2.7927830000000001E-2</v>
      </c>
      <c r="D104" s="25">
        <v>2.6975060000000002E-2</v>
      </c>
      <c r="E104" s="25"/>
      <c r="F104" s="427" t="s">
        <v>165</v>
      </c>
      <c r="G104" s="25">
        <v>8.9309000000000003E-4</v>
      </c>
      <c r="H104" s="25">
        <v>4.8922299999999991E-3</v>
      </c>
      <c r="I104" s="25">
        <v>2E-3</v>
      </c>
      <c r="J104" s="25"/>
      <c r="K104" s="427" t="s">
        <v>116</v>
      </c>
      <c r="L104" s="25">
        <v>0.35679203000000004</v>
      </c>
      <c r="M104" s="25">
        <v>7.9389700000000001E-3</v>
      </c>
      <c r="N104" s="25">
        <v>0.30308757000000003</v>
      </c>
      <c r="U104" s="35"/>
      <c r="V104" s="35"/>
      <c r="W104" s="35"/>
      <c r="X104" s="35"/>
      <c r="Z104" s="35"/>
      <c r="AA104" s="35"/>
      <c r="AB104" s="35"/>
      <c r="AC104" s="35"/>
      <c r="AE104" s="35"/>
      <c r="AF104" s="35"/>
      <c r="AG104" s="35"/>
    </row>
    <row r="105" spans="1:33" x14ac:dyDescent="0.25">
      <c r="A105" s="427" t="s">
        <v>151</v>
      </c>
      <c r="B105" s="25">
        <v>4.7482966399999995</v>
      </c>
      <c r="C105" s="25">
        <v>0</v>
      </c>
      <c r="D105" s="25">
        <v>2.3281E-2</v>
      </c>
      <c r="E105" s="25"/>
      <c r="F105" s="427" t="s">
        <v>176</v>
      </c>
      <c r="G105" s="25">
        <v>1.8000000000000001E-4</v>
      </c>
      <c r="H105" s="25">
        <v>2.9999999999999997E-4</v>
      </c>
      <c r="I105" s="25">
        <v>1.9300000000000001E-3</v>
      </c>
      <c r="J105" s="25"/>
      <c r="K105" s="427" t="s">
        <v>168</v>
      </c>
      <c r="L105" s="25">
        <v>0.26615109999999997</v>
      </c>
      <c r="M105" s="25">
        <v>0.38384983</v>
      </c>
      <c r="N105" s="25">
        <v>0.30077957999999999</v>
      </c>
      <c r="U105" s="35"/>
      <c r="V105" s="35"/>
      <c r="W105" s="35"/>
      <c r="X105" s="35"/>
      <c r="Z105" s="35"/>
      <c r="AA105" s="35"/>
      <c r="AB105" s="35"/>
      <c r="AC105" s="35"/>
      <c r="AE105" s="35"/>
      <c r="AF105" s="35"/>
      <c r="AG105" s="35"/>
    </row>
    <row r="106" spans="1:33" x14ac:dyDescent="0.25">
      <c r="A106" s="427" t="s">
        <v>94</v>
      </c>
      <c r="B106" s="25">
        <v>7.0638859999999998E-2</v>
      </c>
      <c r="C106" s="25">
        <v>3.3747779999999998E-2</v>
      </c>
      <c r="D106" s="25">
        <v>2.1427080000000001E-2</v>
      </c>
      <c r="E106" s="25"/>
      <c r="F106" s="427" t="s">
        <v>213</v>
      </c>
      <c r="G106" s="25">
        <v>0.11976713999999999</v>
      </c>
      <c r="H106" s="25">
        <v>5.3943999999999999E-2</v>
      </c>
      <c r="I106" s="25">
        <v>1.75E-3</v>
      </c>
      <c r="J106" s="25"/>
      <c r="K106" s="427" t="s">
        <v>207</v>
      </c>
      <c r="L106" s="25">
        <v>0.14410899999999999</v>
      </c>
      <c r="M106" s="25">
        <v>0.97260655000000007</v>
      </c>
      <c r="N106" s="25">
        <v>0.28231539</v>
      </c>
      <c r="U106" s="35"/>
      <c r="V106" s="35"/>
      <c r="W106" s="35"/>
      <c r="X106" s="35"/>
      <c r="Z106" s="35"/>
      <c r="AA106" s="35"/>
      <c r="AB106" s="35"/>
      <c r="AC106" s="35"/>
      <c r="AE106" s="35"/>
      <c r="AF106" s="35"/>
      <c r="AG106" s="35"/>
    </row>
    <row r="107" spans="1:33" x14ac:dyDescent="0.25">
      <c r="A107" s="427" t="s">
        <v>117</v>
      </c>
      <c r="B107" s="25">
        <v>6.1678900000000002E-2</v>
      </c>
      <c r="C107" s="25">
        <v>0.1184443</v>
      </c>
      <c r="D107" s="25">
        <v>2.1088590000000001E-2</v>
      </c>
      <c r="E107" s="25"/>
      <c r="F107" s="427" t="s">
        <v>168</v>
      </c>
      <c r="G107" s="25">
        <v>4.4016180000000002E-2</v>
      </c>
      <c r="H107" s="25">
        <v>9.9905800000000006E-3</v>
      </c>
      <c r="I107" s="25">
        <v>1.5E-3</v>
      </c>
      <c r="J107" s="25"/>
      <c r="K107" s="427" t="s">
        <v>200</v>
      </c>
      <c r="L107" s="25">
        <v>0.27578806</v>
      </c>
      <c r="M107" s="25">
        <v>0.59531333999999991</v>
      </c>
      <c r="N107" s="25">
        <v>0.28231129999999999</v>
      </c>
      <c r="U107" s="35"/>
      <c r="V107" s="35"/>
      <c r="W107" s="35"/>
      <c r="X107" s="35"/>
      <c r="Z107" s="35"/>
      <c r="AA107" s="35"/>
      <c r="AB107" s="35"/>
      <c r="AC107" s="35"/>
      <c r="AE107" s="35"/>
      <c r="AF107" s="35"/>
      <c r="AG107" s="35"/>
    </row>
    <row r="108" spans="1:33" x14ac:dyDescent="0.25">
      <c r="A108" s="427" t="s">
        <v>106</v>
      </c>
      <c r="B108" s="25">
        <v>1.2721809499999999</v>
      </c>
      <c r="C108" s="25">
        <v>5.203729E-2</v>
      </c>
      <c r="D108" s="25">
        <v>2.0791779999999999E-2</v>
      </c>
      <c r="E108" s="25"/>
      <c r="F108" s="427" t="s">
        <v>189</v>
      </c>
      <c r="G108" s="25">
        <v>1.4193699999999999E-3</v>
      </c>
      <c r="H108" s="25">
        <v>0</v>
      </c>
      <c r="I108" s="25">
        <v>1.5E-3</v>
      </c>
      <c r="J108" s="25"/>
      <c r="K108" s="427" t="s">
        <v>37</v>
      </c>
      <c r="L108" s="25">
        <v>9.511E-2</v>
      </c>
      <c r="M108" s="25">
        <v>0.21499167000000002</v>
      </c>
      <c r="N108" s="25">
        <v>0.26379893999999998</v>
      </c>
      <c r="U108" s="35"/>
      <c r="V108" s="35"/>
      <c r="W108" s="35"/>
      <c r="X108" s="35"/>
      <c r="Z108" s="35"/>
      <c r="AA108" s="35"/>
      <c r="AB108" s="35"/>
      <c r="AC108" s="35"/>
      <c r="AE108" s="35"/>
      <c r="AF108" s="35"/>
      <c r="AG108" s="35"/>
    </row>
    <row r="109" spans="1:33" x14ac:dyDescent="0.25">
      <c r="A109" s="427" t="s">
        <v>111</v>
      </c>
      <c r="B109" s="25">
        <v>0</v>
      </c>
      <c r="C109" s="25">
        <v>0</v>
      </c>
      <c r="D109" s="25">
        <v>2.0199669999999999E-2</v>
      </c>
      <c r="E109" s="25"/>
      <c r="F109" s="427" t="s">
        <v>25</v>
      </c>
      <c r="G109" s="25">
        <v>5.9000000000000003E-4</v>
      </c>
      <c r="H109" s="25">
        <v>3.1719999999999999E-3</v>
      </c>
      <c r="I109" s="25">
        <v>1.4940000000000001E-3</v>
      </c>
      <c r="J109" s="25"/>
      <c r="K109" s="427" t="s">
        <v>358</v>
      </c>
      <c r="L109" s="25">
        <v>0.26869500000000002</v>
      </c>
      <c r="M109" s="25">
        <v>1.7230562899999999</v>
      </c>
      <c r="N109" s="25">
        <v>0.26021729999999998</v>
      </c>
      <c r="U109" s="35"/>
      <c r="V109" s="35"/>
      <c r="W109" s="35"/>
      <c r="X109" s="35"/>
      <c r="Z109" s="35"/>
      <c r="AA109" s="35"/>
      <c r="AB109" s="35"/>
      <c r="AC109" s="35"/>
      <c r="AE109" s="35"/>
      <c r="AF109" s="35"/>
      <c r="AG109" s="35"/>
    </row>
    <row r="110" spans="1:33" x14ac:dyDescent="0.25">
      <c r="A110" s="427" t="s">
        <v>80</v>
      </c>
      <c r="B110" s="25">
        <v>6.2750349999999996E-2</v>
      </c>
      <c r="C110" s="25">
        <v>0.11651251</v>
      </c>
      <c r="D110" s="25">
        <v>1.926839E-2</v>
      </c>
      <c r="E110" s="25"/>
      <c r="F110" s="427" t="s">
        <v>120</v>
      </c>
      <c r="G110" s="25">
        <v>1.206E-3</v>
      </c>
      <c r="H110" s="25">
        <v>1.0219999999999999E-3</v>
      </c>
      <c r="I110" s="25">
        <v>1.4350000000000001E-3</v>
      </c>
      <c r="J110" s="25"/>
      <c r="K110" s="427" t="s">
        <v>129</v>
      </c>
      <c r="L110" s="25">
        <v>1.2376959999999999E-2</v>
      </c>
      <c r="M110" s="25">
        <v>0.21059791</v>
      </c>
      <c r="N110" s="25">
        <v>0.25751964999999999</v>
      </c>
      <c r="U110" s="35"/>
      <c r="V110" s="35"/>
      <c r="W110" s="35"/>
      <c r="X110" s="35"/>
      <c r="Z110" s="35"/>
      <c r="AA110" s="35"/>
      <c r="AB110" s="35"/>
      <c r="AC110" s="35"/>
      <c r="AE110" s="35"/>
      <c r="AF110" s="35"/>
      <c r="AG110" s="35"/>
    </row>
    <row r="111" spans="1:33" x14ac:dyDescent="0.25">
      <c r="A111" s="427" t="s">
        <v>210</v>
      </c>
      <c r="B111" s="25">
        <v>7.4859999999999996E-3</v>
      </c>
      <c r="C111" s="25">
        <v>5.1260200000000002E-3</v>
      </c>
      <c r="D111" s="25">
        <v>1.8381069999999999E-2</v>
      </c>
      <c r="E111" s="25"/>
      <c r="F111" s="427" t="s">
        <v>27</v>
      </c>
      <c r="G111" s="25">
        <v>8.5700000000000001E-4</v>
      </c>
      <c r="H111" s="25">
        <v>8.1099999999999998E-4</v>
      </c>
      <c r="I111" s="25">
        <v>1.1720000000000001E-3</v>
      </c>
      <c r="J111" s="25"/>
      <c r="K111" s="427" t="s">
        <v>172</v>
      </c>
      <c r="L111" s="25">
        <v>5.6415420000000001E-2</v>
      </c>
      <c r="M111" s="25">
        <v>1.1395720499999999</v>
      </c>
      <c r="N111" s="25">
        <v>0.25729373</v>
      </c>
      <c r="U111" s="35"/>
      <c r="V111" s="35"/>
      <c r="W111" s="35"/>
      <c r="X111" s="35"/>
      <c r="Z111" s="35"/>
      <c r="AA111" s="35"/>
      <c r="AB111" s="35"/>
      <c r="AC111" s="35"/>
      <c r="AE111" s="35"/>
      <c r="AF111" s="35"/>
      <c r="AG111" s="35"/>
    </row>
    <row r="112" spans="1:33" x14ac:dyDescent="0.25">
      <c r="A112" s="427" t="s">
        <v>73</v>
      </c>
      <c r="B112" s="25">
        <v>2.68212E-2</v>
      </c>
      <c r="C112" s="25">
        <v>0</v>
      </c>
      <c r="D112" s="25">
        <v>1.815129E-2</v>
      </c>
      <c r="E112" s="25"/>
      <c r="F112" s="427" t="s">
        <v>108</v>
      </c>
      <c r="G112" s="25">
        <v>0</v>
      </c>
      <c r="H112" s="25">
        <v>5.8865900000000006E-3</v>
      </c>
      <c r="I112" s="25">
        <v>9.5E-4</v>
      </c>
      <c r="J112" s="25"/>
      <c r="K112" s="427" t="s">
        <v>102</v>
      </c>
      <c r="L112" s="25">
        <v>0.75824217000000005</v>
      </c>
      <c r="M112" s="25">
        <v>0.31439175000000003</v>
      </c>
      <c r="N112" s="25">
        <v>0.25181203000000002</v>
      </c>
      <c r="U112" s="35"/>
      <c r="V112" s="35"/>
      <c r="W112" s="35"/>
      <c r="X112" s="35"/>
      <c r="Z112" s="35"/>
      <c r="AA112" s="35"/>
      <c r="AB112" s="35"/>
      <c r="AC112" s="35"/>
      <c r="AE112" s="35"/>
      <c r="AF112" s="35"/>
      <c r="AG112" s="35"/>
    </row>
    <row r="113" spans="1:33" x14ac:dyDescent="0.25">
      <c r="A113" s="427" t="s">
        <v>198</v>
      </c>
      <c r="B113" s="25">
        <v>3.6158399999999999E-3</v>
      </c>
      <c r="C113" s="25">
        <v>3.3227989999999999E-2</v>
      </c>
      <c r="D113" s="25">
        <v>1.6929990000000002E-2</v>
      </c>
      <c r="E113" s="25"/>
      <c r="F113" s="427" t="s">
        <v>90</v>
      </c>
      <c r="G113" s="25">
        <v>2.1550000000000001E-4</v>
      </c>
      <c r="H113" s="25">
        <v>1.74219E-3</v>
      </c>
      <c r="I113" s="25">
        <v>7.2400000000000003E-4</v>
      </c>
      <c r="J113" s="25"/>
      <c r="K113" s="427" t="s">
        <v>64</v>
      </c>
      <c r="L113" s="25">
        <v>0</v>
      </c>
      <c r="M113" s="25">
        <v>0</v>
      </c>
      <c r="N113" s="25">
        <v>0.23914616</v>
      </c>
      <c r="U113" s="35"/>
      <c r="V113" s="35"/>
      <c r="W113" s="35"/>
      <c r="X113" s="35"/>
      <c r="Z113" s="35"/>
      <c r="AA113" s="35"/>
      <c r="AB113" s="35"/>
      <c r="AC113" s="35"/>
      <c r="AE113" s="35"/>
      <c r="AF113" s="35"/>
      <c r="AG113" s="35"/>
    </row>
    <row r="114" spans="1:33" x14ac:dyDescent="0.25">
      <c r="A114" s="427" t="s">
        <v>367</v>
      </c>
      <c r="B114" s="25">
        <v>0</v>
      </c>
      <c r="C114" s="25">
        <v>0</v>
      </c>
      <c r="D114" s="25">
        <v>1.300983E-2</v>
      </c>
      <c r="E114" s="25"/>
      <c r="F114" s="427" t="s">
        <v>111</v>
      </c>
      <c r="G114" s="25">
        <v>0</v>
      </c>
      <c r="H114" s="25">
        <v>0</v>
      </c>
      <c r="I114" s="25">
        <v>6.8000000000000005E-4</v>
      </c>
      <c r="J114" s="25"/>
      <c r="K114" s="427" t="s">
        <v>161</v>
      </c>
      <c r="L114" s="25">
        <v>7.7605649999999998E-2</v>
      </c>
      <c r="M114" s="25">
        <v>0.12262986000000001</v>
      </c>
      <c r="N114" s="25">
        <v>0.23582354999999999</v>
      </c>
      <c r="U114" s="35"/>
      <c r="V114" s="35"/>
      <c r="W114" s="35"/>
      <c r="X114" s="35"/>
      <c r="Z114" s="35"/>
      <c r="AA114" s="35"/>
      <c r="AB114" s="35"/>
      <c r="AC114" s="35"/>
      <c r="AE114" s="35"/>
      <c r="AF114" s="35"/>
      <c r="AG114" s="35"/>
    </row>
    <row r="115" spans="1:33" x14ac:dyDescent="0.25">
      <c r="A115" s="427" t="s">
        <v>130</v>
      </c>
      <c r="B115" s="25">
        <v>0</v>
      </c>
      <c r="C115" s="25">
        <v>0</v>
      </c>
      <c r="D115" s="25">
        <v>1.2654429999999999E-2</v>
      </c>
      <c r="E115" s="25"/>
      <c r="F115" s="427" t="s">
        <v>100</v>
      </c>
      <c r="G115" s="25">
        <v>0</v>
      </c>
      <c r="H115" s="25">
        <v>0</v>
      </c>
      <c r="I115" s="25">
        <v>6.1452000000000002E-4</v>
      </c>
      <c r="J115" s="25"/>
      <c r="K115" s="427" t="s">
        <v>133</v>
      </c>
      <c r="L115" s="25">
        <v>0.34004883000000002</v>
      </c>
      <c r="M115" s="25">
        <v>2.2205362900000001</v>
      </c>
      <c r="N115" s="25">
        <v>0.22217407</v>
      </c>
      <c r="U115" s="35"/>
      <c r="V115" s="35"/>
      <c r="W115" s="35"/>
      <c r="X115" s="35"/>
      <c r="Z115" s="35"/>
      <c r="AA115" s="35"/>
      <c r="AB115" s="35"/>
      <c r="AC115" s="35"/>
      <c r="AE115" s="35"/>
      <c r="AF115" s="35"/>
      <c r="AG115" s="35"/>
    </row>
    <row r="116" spans="1:33" x14ac:dyDescent="0.25">
      <c r="A116" s="427" t="s">
        <v>122</v>
      </c>
      <c r="B116" s="25">
        <v>0</v>
      </c>
      <c r="C116" s="25">
        <v>0</v>
      </c>
      <c r="D116" s="25">
        <v>1.005786E-2</v>
      </c>
      <c r="E116" s="25"/>
      <c r="F116" s="427" t="s">
        <v>84</v>
      </c>
      <c r="G116" s="25">
        <v>3.960222E-2</v>
      </c>
      <c r="H116" s="25">
        <v>8.9753999999999995E-4</v>
      </c>
      <c r="I116" s="25">
        <v>5.8786000000000005E-4</v>
      </c>
      <c r="J116" s="25"/>
      <c r="K116" s="427" t="s">
        <v>185</v>
      </c>
      <c r="L116" s="25">
        <v>1.7999999999999999E-2</v>
      </c>
      <c r="M116" s="25">
        <v>8.7044804300000003</v>
      </c>
      <c r="N116" s="25">
        <v>0.19275845</v>
      </c>
      <c r="U116" s="35"/>
      <c r="V116" s="35"/>
      <c r="W116" s="35"/>
      <c r="X116" s="35"/>
      <c r="Z116" s="35"/>
      <c r="AA116" s="35"/>
      <c r="AB116" s="35"/>
      <c r="AC116" s="35"/>
      <c r="AE116" s="35"/>
      <c r="AF116" s="35"/>
      <c r="AG116" s="35"/>
    </row>
    <row r="117" spans="1:33" x14ac:dyDescent="0.25">
      <c r="A117" s="427" t="s">
        <v>101</v>
      </c>
      <c r="B117" s="25">
        <v>0.93611068999999991</v>
      </c>
      <c r="C117" s="25">
        <v>2.5130845900000001</v>
      </c>
      <c r="D117" s="25">
        <v>9.5552999999999992E-3</v>
      </c>
      <c r="E117" s="25"/>
      <c r="F117" s="427" t="s">
        <v>58</v>
      </c>
      <c r="G117" s="25">
        <v>6.6930259999999991E-2</v>
      </c>
      <c r="H117" s="25">
        <v>7.7078599999999995E-3</v>
      </c>
      <c r="I117" s="25">
        <v>4.4499999999999997E-4</v>
      </c>
      <c r="J117" s="25"/>
      <c r="K117" s="427" t="s">
        <v>155</v>
      </c>
      <c r="L117" s="25">
        <v>1.5E-3</v>
      </c>
      <c r="M117" s="25">
        <v>3.8562300000000001E-2</v>
      </c>
      <c r="N117" s="25">
        <v>0.18468377</v>
      </c>
      <c r="U117" s="35"/>
      <c r="V117" s="35"/>
      <c r="W117" s="35"/>
      <c r="X117" s="35"/>
      <c r="Z117" s="35"/>
      <c r="AA117" s="35"/>
      <c r="AB117" s="35"/>
      <c r="AC117" s="35"/>
      <c r="AE117" s="35"/>
      <c r="AF117" s="35"/>
      <c r="AG117" s="35"/>
    </row>
    <row r="118" spans="1:33" x14ac:dyDescent="0.25">
      <c r="A118" s="427" t="s">
        <v>136</v>
      </c>
      <c r="B118" s="25">
        <v>1.8408399999999998E-3</v>
      </c>
      <c r="C118" s="25">
        <v>4.4568610000000002E-2</v>
      </c>
      <c r="D118" s="25">
        <v>9.2849999999999999E-3</v>
      </c>
      <c r="E118" s="25"/>
      <c r="F118" s="427" t="s">
        <v>191</v>
      </c>
      <c r="G118" s="25">
        <v>5.0889999999999998E-3</v>
      </c>
      <c r="H118" s="25">
        <v>1.5230270000000001E-2</v>
      </c>
      <c r="I118" s="25">
        <v>4.0000000000000002E-4</v>
      </c>
      <c r="J118" s="25"/>
      <c r="K118" s="427" t="s">
        <v>353</v>
      </c>
      <c r="L118" s="25">
        <v>8.3767979999999992E-2</v>
      </c>
      <c r="M118" s="25">
        <v>0</v>
      </c>
      <c r="N118" s="25">
        <v>0.17791057000000002</v>
      </c>
      <c r="U118" s="35"/>
      <c r="V118" s="35"/>
      <c r="W118" s="35"/>
      <c r="X118" s="35"/>
      <c r="Z118" s="35"/>
      <c r="AA118" s="35"/>
      <c r="AB118" s="35"/>
      <c r="AC118" s="35"/>
      <c r="AE118" s="35"/>
      <c r="AF118" s="35"/>
      <c r="AG118" s="35"/>
    </row>
    <row r="119" spans="1:33" x14ac:dyDescent="0.25">
      <c r="A119" s="427" t="s">
        <v>72</v>
      </c>
      <c r="B119" s="25">
        <v>2.6800000000000001E-2</v>
      </c>
      <c r="C119" s="25">
        <v>1.35484E-3</v>
      </c>
      <c r="D119" s="25">
        <v>8.7500000000000008E-3</v>
      </c>
      <c r="E119" s="25"/>
      <c r="F119" s="427" t="s">
        <v>110</v>
      </c>
      <c r="G119" s="25">
        <v>1.5238E-2</v>
      </c>
      <c r="H119" s="25">
        <v>3.6000000000000001E-5</v>
      </c>
      <c r="I119" s="25">
        <v>3.2041000000000003E-4</v>
      </c>
      <c r="J119" s="25"/>
      <c r="K119" s="427" t="s">
        <v>89</v>
      </c>
      <c r="L119" s="25">
        <v>0.31177347999999999</v>
      </c>
      <c r="M119" s="25">
        <v>0.17316120999999998</v>
      </c>
      <c r="N119" s="25">
        <v>0.17744876999999998</v>
      </c>
      <c r="U119" s="35"/>
      <c r="V119" s="35"/>
      <c r="W119" s="35"/>
      <c r="X119" s="35"/>
      <c r="Z119" s="35"/>
      <c r="AA119" s="35"/>
      <c r="AB119" s="35"/>
      <c r="AC119" s="35"/>
      <c r="AE119" s="35"/>
      <c r="AF119" s="35"/>
      <c r="AG119" s="35"/>
    </row>
    <row r="120" spans="1:33" x14ac:dyDescent="0.25">
      <c r="A120" s="427" t="s">
        <v>42</v>
      </c>
      <c r="B120" s="25">
        <v>0</v>
      </c>
      <c r="C120" s="25">
        <v>0</v>
      </c>
      <c r="D120" s="25">
        <v>8.5255000000000001E-3</v>
      </c>
      <c r="E120" s="25"/>
      <c r="F120" s="427" t="s">
        <v>36</v>
      </c>
      <c r="G120" s="25">
        <v>0</v>
      </c>
      <c r="H120" s="25">
        <v>5.1000000000000004E-3</v>
      </c>
      <c r="I120" s="25">
        <v>3.2000000000000003E-4</v>
      </c>
      <c r="J120" s="25"/>
      <c r="K120" s="427" t="s">
        <v>205</v>
      </c>
      <c r="L120" s="25">
        <v>2.079404E-2</v>
      </c>
      <c r="M120" s="25">
        <v>8.9999999999999993E-3</v>
      </c>
      <c r="N120" s="25">
        <v>0.17352508999999999</v>
      </c>
      <c r="U120" s="35"/>
      <c r="V120" s="35"/>
      <c r="W120" s="35"/>
      <c r="X120" s="35"/>
      <c r="Z120" s="35"/>
      <c r="AA120" s="35"/>
      <c r="AB120" s="35"/>
      <c r="AC120" s="35"/>
      <c r="AE120" s="35"/>
      <c r="AF120" s="35"/>
      <c r="AG120" s="35"/>
    </row>
    <row r="121" spans="1:33" x14ac:dyDescent="0.25">
      <c r="A121" s="427" t="s">
        <v>190</v>
      </c>
      <c r="B121" s="25">
        <v>4.1067299999999994E-3</v>
      </c>
      <c r="C121" s="25">
        <v>1.8956600000000002E-3</v>
      </c>
      <c r="D121" s="25">
        <v>8.102390000000001E-3</v>
      </c>
      <c r="E121" s="25"/>
      <c r="F121" s="427" t="s">
        <v>45</v>
      </c>
      <c r="G121" s="25">
        <v>1.5679999999999999E-3</v>
      </c>
      <c r="H121" s="25">
        <v>0</v>
      </c>
      <c r="I121" s="25">
        <v>2.9999999999999997E-4</v>
      </c>
      <c r="J121" s="25"/>
      <c r="K121" s="427" t="s">
        <v>160</v>
      </c>
      <c r="L121" s="25">
        <v>0.46914882000000002</v>
      </c>
      <c r="M121" s="25">
        <v>1.1383180400000001</v>
      </c>
      <c r="N121" s="25">
        <v>0.16708453000000001</v>
      </c>
      <c r="U121" s="35"/>
      <c r="V121" s="35"/>
      <c r="W121" s="35"/>
      <c r="X121" s="35"/>
      <c r="Z121" s="35"/>
      <c r="AA121" s="35"/>
      <c r="AB121" s="35"/>
      <c r="AC121" s="35"/>
      <c r="AE121" s="35"/>
      <c r="AF121" s="35"/>
      <c r="AG121" s="35"/>
    </row>
    <row r="122" spans="1:33" x14ac:dyDescent="0.25">
      <c r="A122" s="427" t="s">
        <v>70</v>
      </c>
      <c r="B122" s="25">
        <v>0</v>
      </c>
      <c r="C122" s="25">
        <v>1.5235100000000001E-3</v>
      </c>
      <c r="D122" s="25">
        <v>7.8876800000000011E-3</v>
      </c>
      <c r="E122" s="25"/>
      <c r="F122" s="427" t="s">
        <v>23</v>
      </c>
      <c r="G122" s="25">
        <v>1.2E-4</v>
      </c>
      <c r="H122" s="25">
        <v>8.9700000000000001E-4</v>
      </c>
      <c r="I122" s="25">
        <v>2.4499999999999999E-4</v>
      </c>
      <c r="J122" s="25"/>
      <c r="K122" s="427" t="s">
        <v>209</v>
      </c>
      <c r="L122" s="25">
        <v>1.00519186</v>
      </c>
      <c r="M122" s="25">
        <v>0.52075627000000002</v>
      </c>
      <c r="N122" s="25">
        <v>0.16225347000000001</v>
      </c>
      <c r="U122" s="35"/>
      <c r="V122" s="35"/>
      <c r="W122" s="35"/>
      <c r="X122" s="35"/>
      <c r="Z122" s="35"/>
      <c r="AA122" s="35"/>
      <c r="AB122" s="35"/>
      <c r="AC122" s="35"/>
      <c r="AE122" s="35"/>
      <c r="AF122" s="35"/>
      <c r="AG122" s="35"/>
    </row>
    <row r="123" spans="1:33" x14ac:dyDescent="0.25">
      <c r="A123" s="427" t="s">
        <v>98</v>
      </c>
      <c r="B123" s="25">
        <v>0</v>
      </c>
      <c r="C123" s="25">
        <v>0</v>
      </c>
      <c r="D123" s="25">
        <v>7.3258900000000007E-3</v>
      </c>
      <c r="E123" s="25"/>
      <c r="F123" s="427" t="s">
        <v>133</v>
      </c>
      <c r="G123" s="25">
        <v>1.4999999999999999E-4</v>
      </c>
      <c r="H123" s="25">
        <v>0</v>
      </c>
      <c r="I123" s="25">
        <v>1.3855000000000001E-4</v>
      </c>
      <c r="J123" s="25"/>
      <c r="K123" s="427" t="s">
        <v>124</v>
      </c>
      <c r="L123" s="25">
        <v>5.7600000000000001E-4</v>
      </c>
      <c r="M123" s="25">
        <v>0.13707639000000002</v>
      </c>
      <c r="N123" s="25">
        <v>0.14958837</v>
      </c>
      <c r="U123" s="35"/>
      <c r="V123" s="35"/>
      <c r="W123" s="35"/>
      <c r="X123" s="35"/>
      <c r="Z123" s="35"/>
      <c r="AA123" s="35"/>
      <c r="AB123" s="35"/>
      <c r="AC123" s="35"/>
      <c r="AE123" s="35"/>
      <c r="AF123" s="35"/>
      <c r="AG123" s="35"/>
    </row>
    <row r="124" spans="1:33" x14ac:dyDescent="0.25">
      <c r="A124" s="427" t="s">
        <v>180</v>
      </c>
      <c r="B124" s="25">
        <v>1.73575938</v>
      </c>
      <c r="C124" s="25">
        <v>0</v>
      </c>
      <c r="D124" s="25">
        <v>7.0825100000000002E-3</v>
      </c>
      <c r="E124" s="25"/>
      <c r="F124" s="427" t="s">
        <v>79</v>
      </c>
      <c r="G124" s="25">
        <v>2.0418099999999998E-3</v>
      </c>
      <c r="H124" s="25">
        <v>0</v>
      </c>
      <c r="I124" s="25">
        <v>1.3555000000000002E-4</v>
      </c>
      <c r="J124" s="25"/>
      <c r="K124" s="427" t="s">
        <v>42</v>
      </c>
      <c r="L124" s="25">
        <v>2.2304299999999998E-3</v>
      </c>
      <c r="M124" s="25">
        <v>5.0000000000000002E-5</v>
      </c>
      <c r="N124" s="25">
        <v>0.13894000000000001</v>
      </c>
      <c r="U124" s="35"/>
      <c r="V124" s="35"/>
      <c r="W124" s="35"/>
      <c r="X124" s="35"/>
      <c r="Z124" s="35"/>
      <c r="AA124" s="35"/>
      <c r="AB124" s="35"/>
      <c r="AC124" s="35"/>
      <c r="AE124" s="35"/>
      <c r="AF124" s="35"/>
      <c r="AG124" s="35"/>
    </row>
    <row r="125" spans="1:33" x14ac:dyDescent="0.25">
      <c r="A125" s="427" t="s">
        <v>124</v>
      </c>
      <c r="B125" s="25">
        <v>0</v>
      </c>
      <c r="C125" s="25">
        <v>0.14281199999999999</v>
      </c>
      <c r="D125" s="25">
        <v>6.7716299999999998E-3</v>
      </c>
      <c r="E125" s="25"/>
      <c r="F125" s="427" t="s">
        <v>20</v>
      </c>
      <c r="G125" s="25">
        <v>0</v>
      </c>
      <c r="H125" s="25">
        <v>1.194E-3</v>
      </c>
      <c r="I125" s="25">
        <v>1.35E-4</v>
      </c>
      <c r="J125" s="25"/>
      <c r="K125" s="427" t="s">
        <v>120</v>
      </c>
      <c r="L125" s="25">
        <v>0.13345662</v>
      </c>
      <c r="M125" s="25">
        <v>0.12318917</v>
      </c>
      <c r="N125" s="25">
        <v>0.11760435000000001</v>
      </c>
      <c r="U125" s="35"/>
      <c r="V125" s="35"/>
      <c r="W125" s="35"/>
      <c r="X125" s="35"/>
      <c r="Z125" s="35"/>
      <c r="AA125" s="35"/>
      <c r="AB125" s="35"/>
      <c r="AC125" s="35"/>
      <c r="AE125" s="35"/>
      <c r="AF125" s="35"/>
      <c r="AG125" s="35"/>
    </row>
    <row r="126" spans="1:33" x14ac:dyDescent="0.25">
      <c r="A126" s="427" t="s">
        <v>123</v>
      </c>
      <c r="B126" s="25">
        <v>0</v>
      </c>
      <c r="C126" s="25">
        <v>0.13147112999999999</v>
      </c>
      <c r="D126" s="25">
        <v>6.67389E-3</v>
      </c>
      <c r="E126" s="25"/>
      <c r="F126" s="427" t="s">
        <v>386</v>
      </c>
      <c r="G126" s="25">
        <v>0</v>
      </c>
      <c r="H126" s="25">
        <v>0</v>
      </c>
      <c r="I126" s="25">
        <v>1E-4</v>
      </c>
      <c r="J126" s="25"/>
      <c r="K126" s="427" t="s">
        <v>150</v>
      </c>
      <c r="L126" s="25">
        <v>5.9697343200000006</v>
      </c>
      <c r="M126" s="25">
        <v>1.9298919999999997E-2</v>
      </c>
      <c r="N126" s="25">
        <v>0.11635395</v>
      </c>
      <c r="U126" s="35"/>
      <c r="V126" s="35"/>
      <c r="W126" s="35"/>
      <c r="X126" s="35"/>
      <c r="Z126" s="35"/>
      <c r="AA126" s="35"/>
      <c r="AB126" s="35"/>
      <c r="AC126" s="35"/>
      <c r="AE126" s="35"/>
      <c r="AF126" s="35"/>
      <c r="AG126" s="35"/>
    </row>
    <row r="127" spans="1:33" x14ac:dyDescent="0.25">
      <c r="A127" s="427" t="s">
        <v>125</v>
      </c>
      <c r="B127" s="25">
        <v>0</v>
      </c>
      <c r="C127" s="25">
        <v>6.9066649999999993E-2</v>
      </c>
      <c r="D127" s="25">
        <v>6.0409399999999999E-3</v>
      </c>
      <c r="E127" s="25"/>
      <c r="F127" s="427" t="s">
        <v>367</v>
      </c>
      <c r="G127" s="25">
        <v>0</v>
      </c>
      <c r="H127" s="25">
        <v>1.8000000000000001E-4</v>
      </c>
      <c r="I127" s="25">
        <v>1E-4</v>
      </c>
      <c r="J127" s="25"/>
      <c r="K127" s="427" t="s">
        <v>188</v>
      </c>
      <c r="L127" s="25">
        <v>1.07906608</v>
      </c>
      <c r="M127" s="25">
        <v>0.48661328000000004</v>
      </c>
      <c r="N127" s="25">
        <v>0.10931779</v>
      </c>
      <c r="U127" s="35"/>
      <c r="V127" s="35"/>
      <c r="W127" s="35"/>
      <c r="X127" s="35"/>
      <c r="Z127" s="35"/>
      <c r="AA127" s="35"/>
      <c r="AB127" s="35"/>
      <c r="AC127" s="35"/>
      <c r="AE127" s="35"/>
      <c r="AF127" s="35"/>
      <c r="AG127" s="35"/>
    </row>
    <row r="128" spans="1:33" x14ac:dyDescent="0.25">
      <c r="A128" s="427" t="s">
        <v>39</v>
      </c>
      <c r="B128" s="25">
        <v>0</v>
      </c>
      <c r="C128" s="25">
        <v>0</v>
      </c>
      <c r="D128" s="25">
        <v>4.9695E-3</v>
      </c>
      <c r="E128" s="25"/>
      <c r="F128" s="427" t="s">
        <v>124</v>
      </c>
      <c r="G128" s="25">
        <v>0</v>
      </c>
      <c r="H128" s="25">
        <v>0</v>
      </c>
      <c r="I128" s="25">
        <v>1E-4</v>
      </c>
      <c r="J128" s="25"/>
      <c r="K128" s="427" t="s">
        <v>143</v>
      </c>
      <c r="L128" s="25">
        <v>0.13527243</v>
      </c>
      <c r="M128" s="25">
        <v>0.28857893000000001</v>
      </c>
      <c r="N128" s="25">
        <v>0.10923260999999999</v>
      </c>
      <c r="U128" s="35"/>
      <c r="V128" s="35"/>
      <c r="W128" s="35"/>
      <c r="X128" s="35"/>
      <c r="Z128" s="35"/>
      <c r="AA128" s="35"/>
      <c r="AB128" s="35"/>
      <c r="AC128" s="35"/>
      <c r="AE128" s="35"/>
      <c r="AF128" s="35"/>
      <c r="AG128" s="35"/>
    </row>
    <row r="129" spans="1:33" x14ac:dyDescent="0.25">
      <c r="A129" s="427" t="s">
        <v>118</v>
      </c>
      <c r="B129" s="25">
        <v>0</v>
      </c>
      <c r="C129" s="25">
        <v>9.4694000000000006E-4</v>
      </c>
      <c r="D129" s="25">
        <v>4.5869999999999999E-3</v>
      </c>
      <c r="E129" s="25"/>
      <c r="F129" s="427" t="s">
        <v>136</v>
      </c>
      <c r="G129" s="25">
        <v>1.75E-4</v>
      </c>
      <c r="H129" s="25">
        <v>2.52381E-3</v>
      </c>
      <c r="I129" s="25">
        <v>9.6500000000000001E-5</v>
      </c>
      <c r="J129" s="25"/>
      <c r="K129" s="427" t="s">
        <v>6</v>
      </c>
      <c r="L129" s="25">
        <v>0.34766090000000005</v>
      </c>
      <c r="M129" s="25">
        <v>0.16435353</v>
      </c>
      <c r="N129" s="25">
        <v>9.8659639999999993E-2</v>
      </c>
      <c r="U129" s="35"/>
      <c r="V129" s="35"/>
      <c r="W129" s="35"/>
      <c r="X129" s="35"/>
      <c r="Z129" s="35"/>
      <c r="AA129" s="35"/>
      <c r="AB129" s="35"/>
      <c r="AC129" s="35"/>
      <c r="AE129" s="35"/>
      <c r="AF129" s="35"/>
      <c r="AG129" s="35"/>
    </row>
    <row r="130" spans="1:33" x14ac:dyDescent="0.25">
      <c r="A130" s="427" t="s">
        <v>68</v>
      </c>
      <c r="B130" s="25">
        <v>0</v>
      </c>
      <c r="C130" s="25">
        <v>8.1473999999999991E-3</v>
      </c>
      <c r="D130" s="25">
        <v>4.0736999999999995E-3</v>
      </c>
      <c r="E130" s="25"/>
      <c r="F130" s="427" t="s">
        <v>105</v>
      </c>
      <c r="G130" s="25">
        <v>0</v>
      </c>
      <c r="H130" s="25">
        <v>0</v>
      </c>
      <c r="I130" s="25">
        <v>9.0000000000000006E-5</v>
      </c>
      <c r="J130" s="25"/>
      <c r="K130" s="427" t="s">
        <v>93</v>
      </c>
      <c r="L130" s="25">
        <v>4.2548395700000006</v>
      </c>
      <c r="M130" s="25">
        <v>4.4830580000000002E-2</v>
      </c>
      <c r="N130" s="25">
        <v>9.8000940000000009E-2</v>
      </c>
      <c r="U130" s="35"/>
      <c r="V130" s="35"/>
      <c r="W130" s="35"/>
      <c r="X130" s="35"/>
      <c r="Z130" s="35"/>
      <c r="AA130" s="35"/>
      <c r="AB130" s="35"/>
      <c r="AC130" s="35"/>
      <c r="AE130" s="35"/>
      <c r="AF130" s="35"/>
      <c r="AG130" s="35"/>
    </row>
    <row r="131" spans="1:33" x14ac:dyDescent="0.25">
      <c r="A131" s="427" t="s">
        <v>105</v>
      </c>
      <c r="B131" s="25">
        <v>1.02114E-3</v>
      </c>
      <c r="C131" s="25">
        <v>2.6712580000000003E-2</v>
      </c>
      <c r="D131" s="25">
        <v>3.3679999999999999E-3</v>
      </c>
      <c r="E131" s="25"/>
      <c r="F131" s="427" t="s">
        <v>16</v>
      </c>
      <c r="G131" s="25">
        <v>0</v>
      </c>
      <c r="H131" s="25">
        <v>0</v>
      </c>
      <c r="I131" s="25">
        <v>8.0000000000000007E-5</v>
      </c>
      <c r="J131" s="25"/>
      <c r="K131" s="427" t="s">
        <v>165</v>
      </c>
      <c r="L131" s="25">
        <v>0.30907108</v>
      </c>
      <c r="M131" s="25">
        <v>0.12543024999999999</v>
      </c>
      <c r="N131" s="25">
        <v>9.7470490000000007E-2</v>
      </c>
      <c r="U131" s="35"/>
      <c r="V131" s="35"/>
      <c r="W131" s="35"/>
      <c r="X131" s="35"/>
      <c r="Z131" s="35"/>
      <c r="AA131" s="35"/>
      <c r="AB131" s="35"/>
      <c r="AC131" s="35"/>
      <c r="AE131" s="35"/>
      <c r="AF131" s="35"/>
      <c r="AG131" s="35"/>
    </row>
    <row r="132" spans="1:33" x14ac:dyDescent="0.25">
      <c r="A132" s="427" t="s">
        <v>114</v>
      </c>
      <c r="B132" s="25">
        <v>0</v>
      </c>
      <c r="C132" s="25">
        <v>8.6800000000000002E-2</v>
      </c>
      <c r="D132" s="25">
        <v>2.46517E-3</v>
      </c>
      <c r="E132" s="25"/>
      <c r="F132" s="427" t="s">
        <v>14</v>
      </c>
      <c r="G132" s="25">
        <v>0</v>
      </c>
      <c r="H132" s="25">
        <v>1.7600000000000001E-3</v>
      </c>
      <c r="I132" s="25">
        <v>5.3999999999999998E-5</v>
      </c>
      <c r="J132" s="25"/>
      <c r="K132" s="427" t="s">
        <v>31</v>
      </c>
      <c r="L132" s="25">
        <v>0.10628883</v>
      </c>
      <c r="M132" s="25">
        <v>9.6016000000000004E-2</v>
      </c>
      <c r="N132" s="25">
        <v>9.5303750000000007E-2</v>
      </c>
      <c r="U132" s="35"/>
      <c r="V132" s="35"/>
      <c r="W132" s="35"/>
      <c r="X132" s="35"/>
      <c r="Z132" s="35"/>
      <c r="AA132" s="35"/>
      <c r="AB132" s="35"/>
      <c r="AC132" s="35"/>
      <c r="AE132" s="35"/>
      <c r="AF132" s="35"/>
      <c r="AG132" s="35"/>
    </row>
    <row r="133" spans="1:33" x14ac:dyDescent="0.25">
      <c r="A133" s="427" t="s">
        <v>137</v>
      </c>
      <c r="B133" s="25">
        <v>2.5294200000000001E-3</v>
      </c>
      <c r="C133" s="25">
        <v>4.2329449999999998E-2</v>
      </c>
      <c r="D133" s="25">
        <v>1.80656E-3</v>
      </c>
      <c r="E133" s="25"/>
      <c r="F133" s="427" t="s">
        <v>42</v>
      </c>
      <c r="G133" s="25">
        <v>1E-4</v>
      </c>
      <c r="H133" s="25">
        <v>0</v>
      </c>
      <c r="I133" s="25">
        <v>5.0000000000000002E-5</v>
      </c>
      <c r="J133" s="25"/>
      <c r="K133" s="427" t="s">
        <v>66</v>
      </c>
      <c r="L133" s="25">
        <v>3.9774480000000001E-2</v>
      </c>
      <c r="M133" s="25">
        <v>4.121739E-2</v>
      </c>
      <c r="N133" s="25">
        <v>8.695217999999999E-2</v>
      </c>
      <c r="U133" s="35"/>
      <c r="V133" s="35"/>
      <c r="W133" s="35"/>
      <c r="X133" s="35"/>
      <c r="Z133" s="35"/>
      <c r="AA133" s="35"/>
      <c r="AB133" s="35"/>
      <c r="AC133" s="35"/>
      <c r="AE133" s="35"/>
      <c r="AF133" s="35"/>
      <c r="AG133" s="35"/>
    </row>
    <row r="134" spans="1:33" x14ac:dyDescent="0.25">
      <c r="A134" s="427" t="s">
        <v>69</v>
      </c>
      <c r="B134" s="25">
        <v>1.0899600000000001E-2</v>
      </c>
      <c r="C134" s="25">
        <v>0</v>
      </c>
      <c r="D134" s="25">
        <v>1.61516E-3</v>
      </c>
      <c r="E134" s="25"/>
      <c r="F134" s="427" t="s">
        <v>137</v>
      </c>
      <c r="G134" s="25">
        <v>6.5200000000000002E-4</v>
      </c>
      <c r="H134" s="25">
        <v>1.5896E-2</v>
      </c>
      <c r="I134" s="25">
        <v>4.5000000000000003E-5</v>
      </c>
      <c r="J134" s="25"/>
      <c r="K134" s="427" t="s">
        <v>198</v>
      </c>
      <c r="L134" s="25">
        <v>0.14422739000000001</v>
      </c>
      <c r="M134" s="25">
        <v>2.3373889999999998E-2</v>
      </c>
      <c r="N134" s="25">
        <v>8.6777929999999989E-2</v>
      </c>
      <c r="U134" s="35"/>
      <c r="V134" s="35"/>
      <c r="W134" s="35"/>
      <c r="X134" s="35"/>
      <c r="Z134" s="35"/>
      <c r="AA134" s="35"/>
      <c r="AB134" s="35"/>
      <c r="AC134" s="35"/>
      <c r="AE134" s="35"/>
      <c r="AF134" s="35"/>
      <c r="AG134" s="35"/>
    </row>
    <row r="135" spans="1:33" x14ac:dyDescent="0.25">
      <c r="A135" s="427" t="s">
        <v>63</v>
      </c>
      <c r="B135" s="25">
        <v>0</v>
      </c>
      <c r="C135" s="25">
        <v>0</v>
      </c>
      <c r="D135" s="25">
        <v>1.6018E-3</v>
      </c>
      <c r="E135" s="25"/>
      <c r="F135" s="427" t="s">
        <v>354</v>
      </c>
      <c r="G135" s="25">
        <v>0</v>
      </c>
      <c r="H135" s="25">
        <v>0</v>
      </c>
      <c r="I135" s="25">
        <v>3.5460000000000003E-5</v>
      </c>
      <c r="J135" s="25"/>
      <c r="K135" s="427" t="s">
        <v>195</v>
      </c>
      <c r="L135" s="25">
        <v>0.38174190000000002</v>
      </c>
      <c r="M135" s="25">
        <v>0.23341463000000001</v>
      </c>
      <c r="N135" s="25">
        <v>8.6254320000000009E-2</v>
      </c>
      <c r="U135" s="35"/>
      <c r="V135" s="35"/>
      <c r="W135" s="35"/>
      <c r="X135" s="35"/>
      <c r="Z135" s="35"/>
      <c r="AA135" s="35"/>
      <c r="AB135" s="35"/>
      <c r="AC135" s="35"/>
      <c r="AE135" s="35"/>
      <c r="AF135" s="35"/>
      <c r="AG135" s="35"/>
    </row>
    <row r="136" spans="1:33" x14ac:dyDescent="0.25">
      <c r="A136" s="427" t="s">
        <v>129</v>
      </c>
      <c r="B136" s="25">
        <v>0</v>
      </c>
      <c r="C136" s="25">
        <v>7.1999999999999998E-3</v>
      </c>
      <c r="D136" s="25">
        <v>9.3798999999999998E-4</v>
      </c>
      <c r="E136" s="25"/>
      <c r="F136" s="427" t="s">
        <v>12</v>
      </c>
      <c r="G136" s="25">
        <v>0</v>
      </c>
      <c r="H136" s="25">
        <v>0</v>
      </c>
      <c r="I136" s="25">
        <v>2.0000000000000002E-5</v>
      </c>
      <c r="J136" s="25"/>
      <c r="K136" s="427" t="s">
        <v>82</v>
      </c>
      <c r="L136" s="25">
        <v>9.6643999999999994E-2</v>
      </c>
      <c r="M136" s="25">
        <v>8.9999999999999998E-4</v>
      </c>
      <c r="N136" s="25">
        <v>7.5475E-2</v>
      </c>
      <c r="U136" s="35"/>
      <c r="V136" s="35"/>
      <c r="W136" s="35"/>
      <c r="X136" s="35"/>
      <c r="Z136" s="35"/>
      <c r="AA136" s="35"/>
      <c r="AB136" s="35"/>
      <c r="AC136" s="35"/>
      <c r="AE136" s="35"/>
      <c r="AF136" s="35"/>
      <c r="AG136" s="35"/>
    </row>
    <row r="137" spans="1:33" x14ac:dyDescent="0.25">
      <c r="A137" s="427" t="s">
        <v>120</v>
      </c>
      <c r="B137" s="25">
        <v>4.8683500000000005E-3</v>
      </c>
      <c r="C137" s="25">
        <v>3.5324429999999997E-2</v>
      </c>
      <c r="D137" s="25">
        <v>6.2480000000000001E-4</v>
      </c>
      <c r="E137" s="25"/>
      <c r="F137" s="427" t="s">
        <v>205</v>
      </c>
      <c r="G137" s="25">
        <v>4.9860600000000005E-3</v>
      </c>
      <c r="H137" s="25">
        <v>0.18425539000000002</v>
      </c>
      <c r="I137" s="25">
        <v>2.0000000000000002E-5</v>
      </c>
      <c r="J137" s="25"/>
      <c r="K137" s="427" t="s">
        <v>24</v>
      </c>
      <c r="L137" s="25">
        <v>6.3501000000000002E-2</v>
      </c>
      <c r="M137" s="25">
        <v>1.0811724199999999</v>
      </c>
      <c r="N137" s="25">
        <v>7.5474689999999997E-2</v>
      </c>
      <c r="U137" s="35"/>
      <c r="V137" s="35"/>
      <c r="W137" s="35"/>
      <c r="X137" s="35"/>
      <c r="Z137" s="35"/>
      <c r="AA137" s="35"/>
      <c r="AB137" s="35"/>
      <c r="AC137" s="35"/>
      <c r="AE137" s="35"/>
      <c r="AF137" s="35"/>
      <c r="AG137" s="35"/>
    </row>
    <row r="138" spans="1:33" x14ac:dyDescent="0.25">
      <c r="A138" s="427" t="s">
        <v>374</v>
      </c>
      <c r="B138" s="25">
        <v>0</v>
      </c>
      <c r="C138" s="25">
        <v>0</v>
      </c>
      <c r="D138" s="25">
        <v>5.8310999999999997E-4</v>
      </c>
      <c r="E138" s="25"/>
      <c r="F138" s="427" t="s">
        <v>74</v>
      </c>
      <c r="G138" s="25">
        <v>1.2E-4</v>
      </c>
      <c r="H138" s="25">
        <v>1.5300000000000001E-4</v>
      </c>
      <c r="I138" s="25">
        <v>1.8E-5</v>
      </c>
      <c r="J138" s="25"/>
      <c r="K138" s="427" t="s">
        <v>191</v>
      </c>
      <c r="L138" s="25">
        <v>0.20311862999999999</v>
      </c>
      <c r="M138" s="25">
        <v>0.11892688999999999</v>
      </c>
      <c r="N138" s="25">
        <v>7.5048359999999995E-2</v>
      </c>
      <c r="U138" s="35"/>
      <c r="V138" s="35"/>
      <c r="W138" s="35"/>
      <c r="X138" s="35"/>
      <c r="Z138" s="35"/>
      <c r="AA138" s="35"/>
      <c r="AB138" s="35"/>
      <c r="AC138" s="35"/>
      <c r="AE138" s="35"/>
      <c r="AF138" s="35"/>
      <c r="AG138" s="35"/>
    </row>
    <row r="139" spans="1:33" x14ac:dyDescent="0.25">
      <c r="A139" s="427" t="s">
        <v>203</v>
      </c>
      <c r="B139" s="25">
        <v>0</v>
      </c>
      <c r="C139" s="25">
        <v>0</v>
      </c>
      <c r="D139" s="25">
        <v>3.0200000000000002E-4</v>
      </c>
      <c r="E139" s="25"/>
      <c r="F139" s="427" t="s">
        <v>373</v>
      </c>
      <c r="G139" s="25">
        <v>0</v>
      </c>
      <c r="H139" s="25">
        <v>0</v>
      </c>
      <c r="I139" s="25">
        <v>1.0000000000000001E-5</v>
      </c>
      <c r="J139" s="25"/>
      <c r="K139" s="427" t="s">
        <v>206</v>
      </c>
      <c r="L139" s="25">
        <v>1.315102</v>
      </c>
      <c r="M139" s="25">
        <v>0</v>
      </c>
      <c r="N139" s="25">
        <v>7.1923000000000001E-2</v>
      </c>
      <c r="U139" s="35"/>
      <c r="V139" s="35"/>
      <c r="W139" s="35"/>
      <c r="X139" s="35"/>
      <c r="Z139" s="35"/>
      <c r="AA139" s="35"/>
      <c r="AB139" s="35"/>
      <c r="AC139" s="35"/>
      <c r="AE139" s="35"/>
      <c r="AF139" s="35"/>
      <c r="AG139" s="35"/>
    </row>
    <row r="140" spans="1:33" x14ac:dyDescent="0.25">
      <c r="A140" s="427" t="s">
        <v>16</v>
      </c>
      <c r="B140" s="25">
        <v>0</v>
      </c>
      <c r="C140" s="25">
        <v>0</v>
      </c>
      <c r="D140" s="25">
        <v>2.0798E-4</v>
      </c>
      <c r="E140" s="25"/>
      <c r="F140" s="427" t="s">
        <v>0</v>
      </c>
      <c r="G140" s="25">
        <v>1.8643879999999999</v>
      </c>
      <c r="H140" s="25">
        <v>0</v>
      </c>
      <c r="I140" s="25">
        <v>0</v>
      </c>
      <c r="J140" s="25"/>
      <c r="K140" s="427" t="s">
        <v>190</v>
      </c>
      <c r="L140" s="25">
        <v>0.11869135</v>
      </c>
      <c r="M140" s="25">
        <v>0.20704035999999998</v>
      </c>
      <c r="N140" s="25">
        <v>7.0156910000000003E-2</v>
      </c>
      <c r="U140" s="35"/>
      <c r="V140" s="35"/>
      <c r="W140" s="35"/>
      <c r="X140" s="35"/>
      <c r="Z140" s="35"/>
      <c r="AA140" s="35"/>
      <c r="AB140" s="35"/>
      <c r="AC140" s="35"/>
      <c r="AE140" s="35"/>
      <c r="AF140" s="35"/>
      <c r="AG140" s="35"/>
    </row>
    <row r="141" spans="1:33" x14ac:dyDescent="0.25">
      <c r="A141" s="427" t="s">
        <v>35</v>
      </c>
      <c r="B141" s="25">
        <v>0</v>
      </c>
      <c r="C141" s="25">
        <v>0</v>
      </c>
      <c r="D141" s="25">
        <v>2.0699999999999999E-4</v>
      </c>
      <c r="E141" s="25"/>
      <c r="F141" s="427" t="s">
        <v>3</v>
      </c>
      <c r="G141" s="25">
        <v>1.08276386</v>
      </c>
      <c r="H141" s="25">
        <v>1.0188998899999999</v>
      </c>
      <c r="I141" s="25">
        <v>0</v>
      </c>
      <c r="J141" s="25"/>
      <c r="K141" s="427" t="s">
        <v>196</v>
      </c>
      <c r="L141" s="25">
        <v>3.8607240000000001E-2</v>
      </c>
      <c r="M141" s="25">
        <v>0.12112769</v>
      </c>
      <c r="N141" s="25">
        <v>6.8211610000000006E-2</v>
      </c>
      <c r="U141" s="35"/>
      <c r="V141" s="35"/>
      <c r="W141" s="35"/>
      <c r="X141" s="35"/>
      <c r="Z141" s="35"/>
      <c r="AA141" s="35"/>
      <c r="AB141" s="35"/>
      <c r="AC141" s="35"/>
      <c r="AE141" s="35"/>
      <c r="AF141" s="35"/>
      <c r="AG141" s="35"/>
    </row>
    <row r="142" spans="1:33" x14ac:dyDescent="0.25">
      <c r="A142" s="427" t="s">
        <v>85</v>
      </c>
      <c r="B142" s="25">
        <v>0</v>
      </c>
      <c r="C142" s="25">
        <v>0</v>
      </c>
      <c r="D142" s="25">
        <v>1.2304000000000001E-4</v>
      </c>
      <c r="E142" s="25"/>
      <c r="F142" s="427" t="s">
        <v>4</v>
      </c>
      <c r="G142" s="25">
        <v>4.0000000000000002E-4</v>
      </c>
      <c r="H142" s="25">
        <v>0</v>
      </c>
      <c r="I142" s="25">
        <v>0</v>
      </c>
      <c r="J142" s="25"/>
      <c r="K142" s="427" t="s">
        <v>147</v>
      </c>
      <c r="L142" s="25">
        <v>9.2773039999999987E-2</v>
      </c>
      <c r="M142" s="25">
        <v>2.966471E-2</v>
      </c>
      <c r="N142" s="25">
        <v>6.4887699999999993E-2</v>
      </c>
      <c r="U142" s="35"/>
      <c r="V142" s="35"/>
      <c r="W142" s="35"/>
      <c r="X142" s="35"/>
      <c r="Z142" s="35"/>
      <c r="AA142" s="35"/>
      <c r="AB142" s="35"/>
      <c r="AC142" s="35"/>
      <c r="AE142" s="35"/>
      <c r="AF142" s="35"/>
      <c r="AG142" s="35"/>
    </row>
    <row r="143" spans="1:33" x14ac:dyDescent="0.25">
      <c r="A143" s="427" t="s">
        <v>149</v>
      </c>
      <c r="B143" s="25">
        <v>0</v>
      </c>
      <c r="C143" s="25">
        <v>0</v>
      </c>
      <c r="D143" s="25">
        <v>8.1390000000000005E-5</v>
      </c>
      <c r="E143" s="25"/>
      <c r="F143" s="427" t="s">
        <v>5</v>
      </c>
      <c r="G143" s="25">
        <v>0</v>
      </c>
      <c r="H143" s="25">
        <v>0</v>
      </c>
      <c r="I143" s="25">
        <v>0</v>
      </c>
      <c r="J143" s="25"/>
      <c r="K143" s="427" t="s">
        <v>197</v>
      </c>
      <c r="L143" s="25">
        <v>3.324746E-2</v>
      </c>
      <c r="M143" s="25">
        <v>0.20603870999999999</v>
      </c>
      <c r="N143" s="25">
        <v>6.2031120000000002E-2</v>
      </c>
      <c r="U143" s="35"/>
      <c r="V143" s="35"/>
      <c r="W143" s="35"/>
      <c r="X143" s="35"/>
      <c r="Z143" s="35"/>
      <c r="AA143" s="35"/>
      <c r="AB143" s="35"/>
      <c r="AC143" s="35"/>
      <c r="AE143" s="35"/>
      <c r="AF143" s="35"/>
      <c r="AG143" s="35"/>
    </row>
    <row r="144" spans="1:33" x14ac:dyDescent="0.25">
      <c r="A144" s="427" t="s">
        <v>352</v>
      </c>
      <c r="B144" s="25">
        <v>0</v>
      </c>
      <c r="C144" s="25">
        <v>0</v>
      </c>
      <c r="D144" s="25">
        <v>4.5000000000000003E-5</v>
      </c>
      <c r="E144" s="25"/>
      <c r="F144" s="427" t="s">
        <v>6</v>
      </c>
      <c r="G144" s="25">
        <v>0</v>
      </c>
      <c r="H144" s="25">
        <v>0</v>
      </c>
      <c r="I144" s="25">
        <v>0</v>
      </c>
      <c r="J144" s="25"/>
      <c r="K144" s="427" t="s">
        <v>193</v>
      </c>
      <c r="L144" s="25">
        <v>0.21688315999999999</v>
      </c>
      <c r="M144" s="25">
        <v>0.13949212999999999</v>
      </c>
      <c r="N144" s="25">
        <v>5.6726160000000005E-2</v>
      </c>
      <c r="U144" s="35"/>
      <c r="V144" s="35"/>
      <c r="W144" s="35"/>
      <c r="X144" s="35"/>
      <c r="Z144" s="35"/>
      <c r="AA144" s="35"/>
      <c r="AB144" s="35"/>
      <c r="AC144" s="35"/>
      <c r="AE144" s="35"/>
      <c r="AF144" s="35"/>
      <c r="AG144" s="35"/>
    </row>
    <row r="145" spans="1:33" x14ac:dyDescent="0.25">
      <c r="A145" s="427" t="s">
        <v>0</v>
      </c>
      <c r="B145" s="25">
        <v>0</v>
      </c>
      <c r="C145" s="25">
        <v>0</v>
      </c>
      <c r="D145" s="25">
        <v>0</v>
      </c>
      <c r="E145" s="25"/>
      <c r="F145" s="427" t="s">
        <v>353</v>
      </c>
      <c r="G145" s="25">
        <v>0</v>
      </c>
      <c r="H145" s="25">
        <v>0</v>
      </c>
      <c r="I145" s="25">
        <v>0</v>
      </c>
      <c r="J145" s="25"/>
      <c r="K145" s="427" t="s">
        <v>75</v>
      </c>
      <c r="L145" s="25">
        <v>28.426295530000001</v>
      </c>
      <c r="M145" s="25">
        <v>5.4217190000000005E-2</v>
      </c>
      <c r="N145" s="25">
        <v>5.0806900000000002E-2</v>
      </c>
      <c r="U145" s="35"/>
      <c r="V145" s="35"/>
      <c r="W145" s="35"/>
      <c r="X145" s="35"/>
      <c r="Z145" s="35"/>
      <c r="AA145" s="35"/>
      <c r="AB145" s="35"/>
      <c r="AC145" s="35"/>
      <c r="AE145" s="35"/>
      <c r="AF145" s="35"/>
      <c r="AG145" s="35"/>
    </row>
    <row r="146" spans="1:33" x14ac:dyDescent="0.25">
      <c r="A146" s="427" t="s">
        <v>3</v>
      </c>
      <c r="B146" s="25">
        <v>0</v>
      </c>
      <c r="C146" s="25">
        <v>0</v>
      </c>
      <c r="D146" s="25">
        <v>0</v>
      </c>
      <c r="E146" s="25"/>
      <c r="F146" s="427" t="s">
        <v>7</v>
      </c>
      <c r="G146" s="25">
        <v>0</v>
      </c>
      <c r="H146" s="25">
        <v>0</v>
      </c>
      <c r="I146" s="25">
        <v>0</v>
      </c>
      <c r="J146" s="25"/>
      <c r="K146" s="427" t="s">
        <v>136</v>
      </c>
      <c r="L146" s="25">
        <v>6.9738599999999993E-3</v>
      </c>
      <c r="M146" s="25">
        <v>3.0487779999999999E-2</v>
      </c>
      <c r="N146" s="25">
        <v>5.0561780000000001E-2</v>
      </c>
      <c r="U146" s="35"/>
      <c r="V146" s="35"/>
      <c r="W146" s="35"/>
      <c r="X146" s="35"/>
      <c r="Z146" s="35"/>
      <c r="AA146" s="35"/>
      <c r="AB146" s="35"/>
      <c r="AC146" s="35"/>
      <c r="AE146" s="35"/>
      <c r="AF146" s="35"/>
      <c r="AG146" s="35"/>
    </row>
    <row r="147" spans="1:33" x14ac:dyDescent="0.25">
      <c r="A147" s="427" t="s">
        <v>5</v>
      </c>
      <c r="B147" s="25">
        <v>0</v>
      </c>
      <c r="C147" s="25">
        <v>0</v>
      </c>
      <c r="D147" s="25">
        <v>0</v>
      </c>
      <c r="E147" s="25"/>
      <c r="F147" s="427" t="s">
        <v>9</v>
      </c>
      <c r="G147" s="25">
        <v>0.13265807999999998</v>
      </c>
      <c r="H147" s="25">
        <v>0</v>
      </c>
      <c r="I147" s="25">
        <v>0</v>
      </c>
      <c r="J147" s="25"/>
      <c r="K147" s="427" t="s">
        <v>22</v>
      </c>
      <c r="L147" s="25">
        <v>1.1028E-2</v>
      </c>
      <c r="M147" s="25">
        <v>5.0186849999999998E-2</v>
      </c>
      <c r="N147" s="25">
        <v>4.8304279999999998E-2</v>
      </c>
      <c r="U147" s="35"/>
      <c r="V147" s="35"/>
      <c r="W147" s="35"/>
      <c r="X147" s="35"/>
      <c r="Z147" s="35"/>
      <c r="AA147" s="35"/>
      <c r="AB147" s="35"/>
      <c r="AC147" s="35"/>
      <c r="AE147" s="35"/>
      <c r="AF147" s="35"/>
      <c r="AG147" s="35"/>
    </row>
    <row r="148" spans="1:33" x14ac:dyDescent="0.25">
      <c r="A148" s="427" t="s">
        <v>6</v>
      </c>
      <c r="B148" s="25">
        <v>0</v>
      </c>
      <c r="C148" s="25">
        <v>0</v>
      </c>
      <c r="D148" s="25">
        <v>0</v>
      </c>
      <c r="E148" s="25"/>
      <c r="F148" s="427" t="s">
        <v>360</v>
      </c>
      <c r="G148" s="25">
        <v>0</v>
      </c>
      <c r="H148" s="25">
        <v>1E-4</v>
      </c>
      <c r="I148" s="25">
        <v>0</v>
      </c>
      <c r="J148" s="25"/>
      <c r="K148" s="427" t="s">
        <v>23</v>
      </c>
      <c r="L148" s="25">
        <v>9.2914130000000011E-2</v>
      </c>
      <c r="M148" s="25">
        <v>6.7869300000000007E-2</v>
      </c>
      <c r="N148" s="25">
        <v>4.6875E-2</v>
      </c>
      <c r="U148" s="35"/>
      <c r="V148" s="35"/>
      <c r="W148" s="35"/>
      <c r="X148" s="35"/>
      <c r="Z148" s="35"/>
      <c r="AA148" s="35"/>
      <c r="AB148" s="35"/>
      <c r="AC148" s="35"/>
      <c r="AE148" s="35"/>
      <c r="AF148" s="35"/>
      <c r="AG148" s="35"/>
    </row>
    <row r="149" spans="1:33" x14ac:dyDescent="0.25">
      <c r="A149" s="427" t="s">
        <v>353</v>
      </c>
      <c r="B149" s="25">
        <v>0</v>
      </c>
      <c r="C149" s="25">
        <v>0</v>
      </c>
      <c r="D149" s="25">
        <v>0</v>
      </c>
      <c r="E149" s="25"/>
      <c r="F149" s="427" t="s">
        <v>13</v>
      </c>
      <c r="G149" s="25">
        <v>4.0000000000000003E-5</v>
      </c>
      <c r="H149" s="25">
        <v>0</v>
      </c>
      <c r="I149" s="25">
        <v>0</v>
      </c>
      <c r="J149" s="25"/>
      <c r="K149" s="427" t="s">
        <v>169</v>
      </c>
      <c r="L149" s="25">
        <v>0</v>
      </c>
      <c r="M149" s="25">
        <v>2.8080000000000002E-3</v>
      </c>
      <c r="N149" s="25">
        <v>4.4057589999999994E-2</v>
      </c>
      <c r="U149" s="35"/>
      <c r="V149" s="35"/>
      <c r="W149" s="35"/>
      <c r="X149" s="35"/>
      <c r="Z149" s="35"/>
      <c r="AA149" s="35"/>
      <c r="AB149" s="35"/>
      <c r="AC149" s="35"/>
      <c r="AE149" s="35"/>
      <c r="AF149" s="35"/>
      <c r="AG149" s="35"/>
    </row>
    <row r="150" spans="1:33" x14ac:dyDescent="0.25">
      <c r="A150" s="427" t="s">
        <v>7</v>
      </c>
      <c r="B150" s="25">
        <v>0</v>
      </c>
      <c r="C150" s="25">
        <v>0</v>
      </c>
      <c r="D150" s="25">
        <v>0</v>
      </c>
      <c r="E150" s="25"/>
      <c r="F150" s="427" t="s">
        <v>18</v>
      </c>
      <c r="G150" s="25">
        <v>0</v>
      </c>
      <c r="H150" s="25">
        <v>0</v>
      </c>
      <c r="I150" s="25">
        <v>0</v>
      </c>
      <c r="J150" s="25"/>
      <c r="K150" s="427" t="s">
        <v>94</v>
      </c>
      <c r="L150" s="25">
        <v>1.8239999999999998E-5</v>
      </c>
      <c r="M150" s="25">
        <v>0</v>
      </c>
      <c r="N150" s="25">
        <v>4.3815400000000004E-2</v>
      </c>
      <c r="U150" s="35"/>
      <c r="V150" s="35"/>
      <c r="W150" s="35"/>
      <c r="X150" s="35"/>
      <c r="Z150" s="35"/>
      <c r="AA150" s="35"/>
      <c r="AB150" s="35"/>
      <c r="AC150" s="35"/>
      <c r="AE150" s="35"/>
      <c r="AF150" s="35"/>
      <c r="AG150" s="35"/>
    </row>
    <row r="151" spans="1:33" x14ac:dyDescent="0.25">
      <c r="A151" s="427" t="s">
        <v>354</v>
      </c>
      <c r="B151" s="25">
        <v>0</v>
      </c>
      <c r="C151" s="25">
        <v>0</v>
      </c>
      <c r="D151" s="25">
        <v>0</v>
      </c>
      <c r="E151" s="25"/>
      <c r="F151" s="427" t="s">
        <v>21</v>
      </c>
      <c r="G151" s="25">
        <v>0</v>
      </c>
      <c r="H151" s="25">
        <v>1.0000000000000001E-5</v>
      </c>
      <c r="I151" s="25">
        <v>0</v>
      </c>
      <c r="J151" s="25"/>
      <c r="K151" s="427" t="s">
        <v>14</v>
      </c>
      <c r="L151" s="25">
        <v>3.2905209999999997E-2</v>
      </c>
      <c r="M151" s="25">
        <v>1.219393E-2</v>
      </c>
      <c r="N151" s="25">
        <v>4.346618E-2</v>
      </c>
      <c r="U151" s="35"/>
      <c r="V151" s="35"/>
      <c r="W151" s="35"/>
      <c r="X151" s="35"/>
      <c r="Z151" s="35"/>
      <c r="AA151" s="35"/>
      <c r="AB151" s="35"/>
      <c r="AC151" s="35"/>
      <c r="AE151" s="35"/>
      <c r="AF151" s="35"/>
      <c r="AG151" s="35"/>
    </row>
    <row r="152" spans="1:33" x14ac:dyDescent="0.25">
      <c r="A152" s="427" t="s">
        <v>360</v>
      </c>
      <c r="B152" s="25">
        <v>0</v>
      </c>
      <c r="C152" s="25">
        <v>3.9801400000000001E-3</v>
      </c>
      <c r="D152" s="25">
        <v>0</v>
      </c>
      <c r="E152" s="25"/>
      <c r="F152" s="427" t="s">
        <v>350</v>
      </c>
      <c r="G152" s="25">
        <v>0</v>
      </c>
      <c r="H152" s="25">
        <v>3.4499999999999998E-4</v>
      </c>
      <c r="I152" s="25">
        <v>0</v>
      </c>
      <c r="J152" s="25"/>
      <c r="K152" s="427" t="s">
        <v>107</v>
      </c>
      <c r="L152" s="25">
        <v>2.6884060000000001E-2</v>
      </c>
      <c r="M152" s="25">
        <v>1.895604E-2</v>
      </c>
      <c r="N152" s="25">
        <v>3.7739399999999999E-2</v>
      </c>
      <c r="U152" s="35"/>
      <c r="V152" s="35"/>
      <c r="W152" s="35"/>
      <c r="X152" s="35"/>
      <c r="Z152" s="35"/>
      <c r="AA152" s="35"/>
      <c r="AB152" s="35"/>
      <c r="AC152" s="35"/>
      <c r="AE152" s="35"/>
      <c r="AF152" s="35"/>
      <c r="AG152" s="35"/>
    </row>
    <row r="153" spans="1:33" x14ac:dyDescent="0.25">
      <c r="A153" s="427" t="s">
        <v>12</v>
      </c>
      <c r="B153" s="25">
        <v>0</v>
      </c>
      <c r="C153" s="25">
        <v>0</v>
      </c>
      <c r="D153" s="25">
        <v>0</v>
      </c>
      <c r="E153" s="25"/>
      <c r="F153" s="427" t="s">
        <v>26</v>
      </c>
      <c r="G153" s="25">
        <v>6.8000000000000005E-4</v>
      </c>
      <c r="H153" s="25">
        <v>1.6000000000000001E-4</v>
      </c>
      <c r="I153" s="25">
        <v>0</v>
      </c>
      <c r="J153" s="25"/>
      <c r="K153" s="427" t="s">
        <v>187</v>
      </c>
      <c r="L153" s="25">
        <v>7.2787799999999995E-3</v>
      </c>
      <c r="M153" s="25">
        <v>1.8069270000000002E-2</v>
      </c>
      <c r="N153" s="25">
        <v>3.7501619999999999E-2</v>
      </c>
      <c r="U153" s="35"/>
      <c r="V153" s="35"/>
      <c r="W153" s="35"/>
      <c r="X153" s="35"/>
      <c r="Z153" s="35"/>
      <c r="AA153" s="35"/>
      <c r="AB153" s="35"/>
      <c r="AC153" s="35"/>
      <c r="AE153" s="35"/>
      <c r="AF153" s="35"/>
      <c r="AG153" s="35"/>
    </row>
    <row r="154" spans="1:33" x14ac:dyDescent="0.25">
      <c r="A154" s="427" t="s">
        <v>373</v>
      </c>
      <c r="B154" s="25">
        <v>0</v>
      </c>
      <c r="C154" s="25">
        <v>0</v>
      </c>
      <c r="D154" s="25">
        <v>0</v>
      </c>
      <c r="E154" s="25"/>
      <c r="F154" s="427" t="s">
        <v>387</v>
      </c>
      <c r="G154" s="25">
        <v>0</v>
      </c>
      <c r="H154" s="25">
        <v>0</v>
      </c>
      <c r="I154" s="25">
        <v>0</v>
      </c>
      <c r="J154" s="25"/>
      <c r="K154" s="427" t="s">
        <v>12</v>
      </c>
      <c r="L154" s="25">
        <v>0.55763912000000004</v>
      </c>
      <c r="M154" s="25">
        <v>2.8009900000000001E-2</v>
      </c>
      <c r="N154" s="25">
        <v>3.569166E-2</v>
      </c>
      <c r="U154" s="35"/>
      <c r="V154" s="35"/>
      <c r="W154" s="35"/>
      <c r="X154" s="35"/>
      <c r="Z154" s="35"/>
      <c r="AA154" s="35"/>
      <c r="AB154" s="35"/>
      <c r="AC154" s="35"/>
      <c r="AE154" s="35"/>
      <c r="AF154" s="35"/>
      <c r="AG154" s="35"/>
    </row>
    <row r="155" spans="1:33" x14ac:dyDescent="0.25">
      <c r="A155" s="427" t="s">
        <v>13</v>
      </c>
      <c r="B155" s="25">
        <v>0</v>
      </c>
      <c r="C155" s="25">
        <v>0</v>
      </c>
      <c r="D155" s="25">
        <v>0</v>
      </c>
      <c r="E155" s="25"/>
      <c r="F155" s="427" t="s">
        <v>385</v>
      </c>
      <c r="G155" s="25">
        <v>0</v>
      </c>
      <c r="H155" s="25">
        <v>1.008E-3</v>
      </c>
      <c r="I155" s="25">
        <v>0</v>
      </c>
      <c r="J155" s="25"/>
      <c r="K155" s="427" t="s">
        <v>167</v>
      </c>
      <c r="L155" s="25">
        <v>8.4847649999999997E-2</v>
      </c>
      <c r="M155" s="25">
        <v>0.14221076999999999</v>
      </c>
      <c r="N155" s="25">
        <v>2.9846999999999999E-2</v>
      </c>
      <c r="U155" s="35"/>
      <c r="V155" s="35"/>
      <c r="W155" s="35"/>
      <c r="X155" s="35"/>
      <c r="Z155" s="35"/>
      <c r="AA155" s="35"/>
      <c r="AB155" s="35"/>
      <c r="AC155" s="35"/>
      <c r="AE155" s="35"/>
      <c r="AF155" s="35"/>
      <c r="AG155" s="35"/>
    </row>
    <row r="156" spans="1:33" x14ac:dyDescent="0.25">
      <c r="A156" s="427" t="s">
        <v>19</v>
      </c>
      <c r="B156" s="25">
        <v>0</v>
      </c>
      <c r="C156" s="25">
        <v>0</v>
      </c>
      <c r="D156" s="25">
        <v>0</v>
      </c>
      <c r="E156" s="25"/>
      <c r="F156" s="427" t="s">
        <v>403</v>
      </c>
      <c r="G156" s="25">
        <v>0</v>
      </c>
      <c r="H156" s="25">
        <v>0.32730300000000001</v>
      </c>
      <c r="I156" s="25">
        <v>0</v>
      </c>
      <c r="J156" s="25"/>
      <c r="K156" s="427" t="s">
        <v>213</v>
      </c>
      <c r="L156" s="25">
        <v>1.7287669999999998E-2</v>
      </c>
      <c r="M156" s="25">
        <v>0.10671807000000001</v>
      </c>
      <c r="N156" s="25">
        <v>2.7841299999999999E-2</v>
      </c>
      <c r="U156" s="35"/>
      <c r="V156" s="35"/>
      <c r="W156" s="35"/>
      <c r="X156" s="35"/>
      <c r="Z156" s="35"/>
      <c r="AA156" s="35"/>
      <c r="AB156" s="35"/>
      <c r="AC156" s="35"/>
      <c r="AE156" s="35"/>
      <c r="AF156" s="35"/>
      <c r="AG156" s="35"/>
    </row>
    <row r="157" spans="1:33" x14ac:dyDescent="0.25">
      <c r="A157" s="427" t="s">
        <v>20</v>
      </c>
      <c r="B157" s="25">
        <v>0</v>
      </c>
      <c r="C157" s="25">
        <v>0</v>
      </c>
      <c r="D157" s="25">
        <v>0</v>
      </c>
      <c r="E157" s="25"/>
      <c r="F157" s="427" t="s">
        <v>33</v>
      </c>
      <c r="G157" s="25">
        <v>0</v>
      </c>
      <c r="H157" s="25">
        <v>0</v>
      </c>
      <c r="I157" s="25">
        <v>0</v>
      </c>
      <c r="J157" s="25"/>
      <c r="K157" s="427" t="s">
        <v>210</v>
      </c>
      <c r="L157" s="25">
        <v>5.7320699999999995E-2</v>
      </c>
      <c r="M157" s="25">
        <v>0.16518472000000001</v>
      </c>
      <c r="N157" s="25">
        <v>2.7733709999999998E-2</v>
      </c>
      <c r="U157" s="35"/>
      <c r="V157" s="35"/>
      <c r="W157" s="35"/>
      <c r="X157" s="35"/>
      <c r="Z157" s="35"/>
      <c r="AA157" s="35"/>
      <c r="AB157" s="35"/>
      <c r="AC157" s="35"/>
      <c r="AE157" s="35"/>
      <c r="AF157" s="35"/>
      <c r="AG157" s="35"/>
    </row>
    <row r="158" spans="1:33" x14ac:dyDescent="0.25">
      <c r="A158" s="427" t="s">
        <v>21</v>
      </c>
      <c r="B158" s="25">
        <v>0</v>
      </c>
      <c r="C158" s="25">
        <v>3.0124999999999998E-4</v>
      </c>
      <c r="D158" s="25">
        <v>0</v>
      </c>
      <c r="E158" s="25"/>
      <c r="F158" s="427" t="s">
        <v>34</v>
      </c>
      <c r="G158" s="25">
        <v>0</v>
      </c>
      <c r="H158" s="25">
        <v>0</v>
      </c>
      <c r="I158" s="25">
        <v>0</v>
      </c>
      <c r="J158" s="25"/>
      <c r="K158" s="427" t="s">
        <v>68</v>
      </c>
      <c r="L158" s="25">
        <v>1.7607825500000001</v>
      </c>
      <c r="M158" s="25">
        <v>1.0563199999999999E-3</v>
      </c>
      <c r="N158" s="25">
        <v>2.5998959999999998E-2</v>
      </c>
      <c r="U158" s="35"/>
      <c r="V158" s="35"/>
      <c r="W158" s="35"/>
      <c r="X158" s="35"/>
      <c r="Z158" s="35"/>
      <c r="AA158" s="35"/>
      <c r="AB158" s="35"/>
      <c r="AC158" s="35"/>
      <c r="AE158" s="35"/>
      <c r="AF158" s="35"/>
      <c r="AG158" s="35"/>
    </row>
    <row r="159" spans="1:33" x14ac:dyDescent="0.25">
      <c r="A159" s="427" t="s">
        <v>22</v>
      </c>
      <c r="B159" s="25">
        <v>0</v>
      </c>
      <c r="C159" s="25">
        <v>0</v>
      </c>
      <c r="D159" s="25">
        <v>0</v>
      </c>
      <c r="E159" s="25"/>
      <c r="F159" s="427" t="s">
        <v>35</v>
      </c>
      <c r="G159" s="25">
        <v>0</v>
      </c>
      <c r="H159" s="25">
        <v>0</v>
      </c>
      <c r="I159" s="25">
        <v>0</v>
      </c>
      <c r="J159" s="25"/>
      <c r="K159" s="427" t="s">
        <v>21</v>
      </c>
      <c r="L159" s="25">
        <v>0.15096609999999999</v>
      </c>
      <c r="M159" s="25">
        <v>3.8070680000000003E-2</v>
      </c>
      <c r="N159" s="25">
        <v>2.5323990000000001E-2</v>
      </c>
      <c r="U159" s="35"/>
      <c r="V159" s="35"/>
      <c r="W159" s="35"/>
      <c r="X159" s="35"/>
      <c r="Z159" s="35"/>
      <c r="AA159" s="35"/>
      <c r="AB159" s="35"/>
      <c r="AC159" s="35"/>
      <c r="AE159" s="35"/>
      <c r="AF159" s="35"/>
      <c r="AG159" s="35"/>
    </row>
    <row r="160" spans="1:33" x14ac:dyDescent="0.25">
      <c r="A160" s="427" t="s">
        <v>23</v>
      </c>
      <c r="B160" s="25">
        <v>0</v>
      </c>
      <c r="C160" s="25">
        <v>0</v>
      </c>
      <c r="D160" s="25">
        <v>0</v>
      </c>
      <c r="E160" s="25"/>
      <c r="F160" s="427" t="s">
        <v>37</v>
      </c>
      <c r="G160" s="25">
        <v>0</v>
      </c>
      <c r="H160" s="25">
        <v>0</v>
      </c>
      <c r="I160" s="25">
        <v>0</v>
      </c>
      <c r="J160" s="25"/>
      <c r="K160" s="427" t="s">
        <v>110</v>
      </c>
      <c r="L160" s="25">
        <v>4.7749999999999997E-3</v>
      </c>
      <c r="M160" s="25">
        <v>1.4500000000000001E-2</v>
      </c>
      <c r="N160" s="25">
        <v>2.3985990000000002E-2</v>
      </c>
      <c r="U160" s="35"/>
      <c r="V160" s="35"/>
      <c r="W160" s="35"/>
      <c r="X160" s="35"/>
      <c r="Z160" s="35"/>
      <c r="AA160" s="35"/>
      <c r="AB160" s="35"/>
      <c r="AC160" s="35"/>
      <c r="AE160" s="35"/>
      <c r="AF160" s="35"/>
      <c r="AG160" s="35"/>
    </row>
    <row r="161" spans="1:33" x14ac:dyDescent="0.25">
      <c r="A161" s="427" t="s">
        <v>350</v>
      </c>
      <c r="B161" s="25">
        <v>0</v>
      </c>
      <c r="C161" s="25">
        <v>0</v>
      </c>
      <c r="D161" s="25">
        <v>0</v>
      </c>
      <c r="E161" s="25"/>
      <c r="F161" s="427" t="s">
        <v>38</v>
      </c>
      <c r="G161" s="25">
        <v>0</v>
      </c>
      <c r="H161" s="25">
        <v>0</v>
      </c>
      <c r="I161" s="25">
        <v>0</v>
      </c>
      <c r="J161" s="25"/>
      <c r="K161" s="427" t="s">
        <v>164</v>
      </c>
      <c r="L161" s="25">
        <v>1.1252799999999999E-2</v>
      </c>
      <c r="M161" s="25">
        <v>0.10470314999999999</v>
      </c>
      <c r="N161" s="25">
        <v>2.3439000000000002E-2</v>
      </c>
      <c r="U161" s="35"/>
      <c r="V161" s="35"/>
      <c r="W161" s="35"/>
      <c r="X161" s="35"/>
      <c r="Z161" s="35"/>
      <c r="AA161" s="35"/>
      <c r="AB161" s="35"/>
      <c r="AC161" s="35"/>
      <c r="AE161" s="35"/>
      <c r="AF161" s="35"/>
      <c r="AG161" s="35"/>
    </row>
    <row r="162" spans="1:33" x14ac:dyDescent="0.25">
      <c r="A162" s="427" t="s">
        <v>24</v>
      </c>
      <c r="B162" s="25">
        <v>0</v>
      </c>
      <c r="C162" s="25">
        <v>0</v>
      </c>
      <c r="D162" s="25">
        <v>0</v>
      </c>
      <c r="E162" s="25"/>
      <c r="F162" s="427" t="s">
        <v>39</v>
      </c>
      <c r="G162" s="25">
        <v>0</v>
      </c>
      <c r="H162" s="25">
        <v>0</v>
      </c>
      <c r="I162" s="25">
        <v>0</v>
      </c>
      <c r="J162" s="25"/>
      <c r="K162" s="427" t="s">
        <v>204</v>
      </c>
      <c r="L162" s="25">
        <v>2.619177E-2</v>
      </c>
      <c r="M162" s="25">
        <v>6.847091000000001E-2</v>
      </c>
      <c r="N162" s="25">
        <v>2.228745E-2</v>
      </c>
      <c r="U162" s="35"/>
      <c r="V162" s="35"/>
      <c r="W162" s="35"/>
      <c r="X162" s="35"/>
      <c r="Z162" s="35"/>
      <c r="AA162" s="35"/>
      <c r="AB162" s="35"/>
      <c r="AC162" s="35"/>
      <c r="AE162" s="35"/>
      <c r="AF162" s="35"/>
      <c r="AG162" s="35"/>
    </row>
    <row r="163" spans="1:33" x14ac:dyDescent="0.25">
      <c r="A163" s="427" t="s">
        <v>25</v>
      </c>
      <c r="B163" s="25">
        <v>0</v>
      </c>
      <c r="C163" s="25">
        <v>0</v>
      </c>
      <c r="D163" s="25">
        <v>0</v>
      </c>
      <c r="E163" s="25"/>
      <c r="F163" s="427" t="s">
        <v>40</v>
      </c>
      <c r="G163" s="25">
        <v>3.4E-5</v>
      </c>
      <c r="H163" s="25">
        <v>0</v>
      </c>
      <c r="I163" s="25">
        <v>0</v>
      </c>
      <c r="J163" s="25"/>
      <c r="K163" s="427" t="s">
        <v>25</v>
      </c>
      <c r="L163" s="25">
        <v>2.07179E-3</v>
      </c>
      <c r="M163" s="25">
        <v>0</v>
      </c>
      <c r="N163" s="25">
        <v>1.775699E-2</v>
      </c>
      <c r="U163" s="35"/>
      <c r="V163" s="35"/>
      <c r="W163" s="35"/>
      <c r="X163" s="35"/>
      <c r="Z163" s="35"/>
      <c r="AA163" s="35"/>
      <c r="AB163" s="35"/>
      <c r="AC163" s="35"/>
      <c r="AE163" s="35"/>
      <c r="AF163" s="35"/>
      <c r="AG163" s="35"/>
    </row>
    <row r="164" spans="1:33" x14ac:dyDescent="0.25">
      <c r="A164" s="427" t="s">
        <v>26</v>
      </c>
      <c r="B164" s="25">
        <v>0</v>
      </c>
      <c r="C164" s="25">
        <v>7.3765900000000006E-3</v>
      </c>
      <c r="D164" s="25">
        <v>0</v>
      </c>
      <c r="E164" s="25"/>
      <c r="F164" s="427" t="s">
        <v>41</v>
      </c>
      <c r="G164" s="25">
        <v>0</v>
      </c>
      <c r="H164" s="25">
        <v>0</v>
      </c>
      <c r="I164" s="25">
        <v>0</v>
      </c>
      <c r="J164" s="25"/>
      <c r="K164" s="427" t="s">
        <v>95</v>
      </c>
      <c r="L164" s="25">
        <v>4.5806430000000002E-2</v>
      </c>
      <c r="M164" s="25">
        <v>1.4589571699999999</v>
      </c>
      <c r="N164" s="25">
        <v>1.633505E-2</v>
      </c>
      <c r="U164" s="35"/>
      <c r="V164" s="35"/>
      <c r="W164" s="35"/>
      <c r="X164" s="35"/>
      <c r="Z164" s="35"/>
      <c r="AA164" s="35"/>
      <c r="AB164" s="35"/>
      <c r="AC164" s="35"/>
      <c r="AE164" s="35"/>
      <c r="AF164" s="35"/>
      <c r="AG164" s="35"/>
    </row>
    <row r="165" spans="1:33" x14ac:dyDescent="0.25">
      <c r="A165" s="427" t="s">
        <v>387</v>
      </c>
      <c r="B165" s="25">
        <v>0</v>
      </c>
      <c r="C165" s="25">
        <v>0</v>
      </c>
      <c r="D165" s="25">
        <v>0</v>
      </c>
      <c r="E165" s="25"/>
      <c r="F165" s="427" t="s">
        <v>375</v>
      </c>
      <c r="G165" s="25">
        <v>0</v>
      </c>
      <c r="H165" s="25">
        <v>0</v>
      </c>
      <c r="I165" s="25">
        <v>0</v>
      </c>
      <c r="J165" s="25"/>
      <c r="K165" s="427" t="s">
        <v>199</v>
      </c>
      <c r="L165" s="25">
        <v>0</v>
      </c>
      <c r="M165" s="25">
        <v>3.13043E-3</v>
      </c>
      <c r="N165" s="25">
        <v>1.5461299999999999E-2</v>
      </c>
      <c r="U165" s="35"/>
      <c r="V165" s="35"/>
      <c r="W165" s="35"/>
      <c r="X165" s="35"/>
      <c r="Z165" s="35"/>
      <c r="AA165" s="35"/>
      <c r="AB165" s="35"/>
      <c r="AC165" s="35"/>
      <c r="AE165" s="35"/>
      <c r="AF165" s="35"/>
      <c r="AG165" s="35"/>
    </row>
    <row r="166" spans="1:33" x14ac:dyDescent="0.25">
      <c r="A166" s="427" t="s">
        <v>28</v>
      </c>
      <c r="B166" s="25">
        <v>0.28776362999999999</v>
      </c>
      <c r="C166" s="25">
        <v>1.8660919999999998E-2</v>
      </c>
      <c r="D166" s="25">
        <v>0</v>
      </c>
      <c r="E166" s="25"/>
      <c r="F166" s="427" t="s">
        <v>43</v>
      </c>
      <c r="G166" s="25">
        <v>8.0238800000000006E-3</v>
      </c>
      <c r="H166" s="25">
        <v>0</v>
      </c>
      <c r="I166" s="25">
        <v>0</v>
      </c>
      <c r="J166" s="25"/>
      <c r="K166" s="427" t="s">
        <v>17</v>
      </c>
      <c r="L166" s="25">
        <v>1.2838E-2</v>
      </c>
      <c r="M166" s="25">
        <v>0</v>
      </c>
      <c r="N166" s="25">
        <v>1.4259809999999999E-2</v>
      </c>
      <c r="U166" s="35"/>
      <c r="V166" s="35"/>
      <c r="W166" s="35"/>
      <c r="X166" s="35"/>
      <c r="Z166" s="35"/>
      <c r="AA166" s="35"/>
      <c r="AB166" s="35"/>
      <c r="AC166" s="35"/>
      <c r="AE166" s="35"/>
      <c r="AF166" s="35"/>
      <c r="AG166" s="35"/>
    </row>
    <row r="167" spans="1:33" x14ac:dyDescent="0.25">
      <c r="A167" s="427" t="s">
        <v>29</v>
      </c>
      <c r="B167" s="25">
        <v>4.12445E-3</v>
      </c>
      <c r="C167" s="25">
        <v>0.48009824000000001</v>
      </c>
      <c r="D167" s="25">
        <v>0</v>
      </c>
      <c r="E167" s="25"/>
      <c r="F167" s="427" t="s">
        <v>44</v>
      </c>
      <c r="G167" s="25">
        <v>4.7879999999999997E-3</v>
      </c>
      <c r="H167" s="25">
        <v>6.1270000000000009E-4</v>
      </c>
      <c r="I167" s="25">
        <v>0</v>
      </c>
      <c r="J167" s="25"/>
      <c r="K167" s="427" t="s">
        <v>74</v>
      </c>
      <c r="L167" s="25">
        <v>0.20856307000000002</v>
      </c>
      <c r="M167" s="25">
        <v>2.58633464</v>
      </c>
      <c r="N167" s="25">
        <v>1.2709420000000001E-2</v>
      </c>
      <c r="U167" s="35"/>
      <c r="V167" s="35"/>
      <c r="W167" s="35"/>
      <c r="X167" s="35"/>
      <c r="Z167" s="35"/>
      <c r="AA167" s="35"/>
      <c r="AB167" s="35"/>
      <c r="AC167" s="35"/>
      <c r="AE167" s="35"/>
      <c r="AF167" s="35"/>
      <c r="AG167" s="35"/>
    </row>
    <row r="168" spans="1:33" x14ac:dyDescent="0.25">
      <c r="A168" s="427" t="s">
        <v>385</v>
      </c>
      <c r="B168" s="25">
        <v>0</v>
      </c>
      <c r="C168" s="25">
        <v>0</v>
      </c>
      <c r="D168" s="25">
        <v>0</v>
      </c>
      <c r="E168" s="25"/>
      <c r="F168" s="427" t="s">
        <v>46</v>
      </c>
      <c r="G168" s="25">
        <v>0</v>
      </c>
      <c r="H168" s="25">
        <v>0</v>
      </c>
      <c r="I168" s="25">
        <v>0</v>
      </c>
      <c r="J168" s="25"/>
      <c r="K168" s="427" t="s">
        <v>978</v>
      </c>
      <c r="L168" s="25">
        <v>12.02240235</v>
      </c>
      <c r="M168" s="25">
        <v>131.22294601999999</v>
      </c>
      <c r="N168" s="25">
        <v>1.2577469999999999E-2</v>
      </c>
      <c r="U168" s="35"/>
      <c r="V168" s="35"/>
      <c r="W168" s="35"/>
      <c r="X168" s="35"/>
      <c r="Z168" s="35"/>
      <c r="AA168" s="35"/>
      <c r="AB168" s="35"/>
      <c r="AC168" s="35"/>
      <c r="AE168" s="35"/>
      <c r="AF168" s="35"/>
      <c r="AG168" s="35"/>
    </row>
    <row r="169" spans="1:33" x14ac:dyDescent="0.25">
      <c r="A169" s="427" t="s">
        <v>32</v>
      </c>
      <c r="B169" s="25">
        <v>0</v>
      </c>
      <c r="C169" s="25">
        <v>1.2789816100000002</v>
      </c>
      <c r="D169" s="25">
        <v>0</v>
      </c>
      <c r="E169" s="25"/>
      <c r="F169" s="427" t="s">
        <v>49</v>
      </c>
      <c r="G169" s="25">
        <v>0</v>
      </c>
      <c r="H169" s="25">
        <v>0</v>
      </c>
      <c r="I169" s="25">
        <v>0</v>
      </c>
      <c r="J169" s="25"/>
      <c r="K169" s="427" t="s">
        <v>32</v>
      </c>
      <c r="L169" s="25">
        <v>6.8905999999999995E-2</v>
      </c>
      <c r="M169" s="25">
        <v>1.146E-2</v>
      </c>
      <c r="N169" s="25">
        <v>1.1847E-2</v>
      </c>
      <c r="U169" s="35"/>
      <c r="V169" s="35"/>
      <c r="W169" s="35"/>
      <c r="X169" s="35"/>
      <c r="Z169" s="35"/>
      <c r="AA169" s="35"/>
      <c r="AB169" s="35"/>
      <c r="AC169" s="35"/>
      <c r="AE169" s="35"/>
      <c r="AF169" s="35"/>
      <c r="AG169" s="35"/>
    </row>
    <row r="170" spans="1:33" x14ac:dyDescent="0.25">
      <c r="A170" s="427" t="s">
        <v>403</v>
      </c>
      <c r="B170" s="25">
        <v>0</v>
      </c>
      <c r="C170" s="25">
        <v>0</v>
      </c>
      <c r="D170" s="25">
        <v>0</v>
      </c>
      <c r="E170" s="25"/>
      <c r="F170" s="427" t="s">
        <v>50</v>
      </c>
      <c r="G170" s="25">
        <v>0</v>
      </c>
      <c r="H170" s="25">
        <v>8.9999999999999998E-4</v>
      </c>
      <c r="I170" s="25">
        <v>0</v>
      </c>
      <c r="J170" s="25"/>
      <c r="K170" s="427" t="s">
        <v>67</v>
      </c>
      <c r="L170" s="25">
        <v>0</v>
      </c>
      <c r="M170" s="25">
        <v>1.5125E-2</v>
      </c>
      <c r="N170" s="25">
        <v>1.0999999999999999E-2</v>
      </c>
      <c r="U170" s="35"/>
      <c r="V170" s="35"/>
      <c r="W170" s="35"/>
      <c r="X170" s="35"/>
      <c r="Z170" s="35"/>
      <c r="AA170" s="35"/>
      <c r="AB170" s="35"/>
      <c r="AC170" s="35"/>
      <c r="AE170" s="35"/>
      <c r="AF170" s="35"/>
      <c r="AG170" s="35"/>
    </row>
    <row r="171" spans="1:33" x14ac:dyDescent="0.25">
      <c r="A171" s="427" t="s">
        <v>33</v>
      </c>
      <c r="B171" s="25">
        <v>0</v>
      </c>
      <c r="C171" s="25">
        <v>0</v>
      </c>
      <c r="D171" s="25">
        <v>0</v>
      </c>
      <c r="E171" s="25"/>
      <c r="F171" s="427" t="s">
        <v>52</v>
      </c>
      <c r="G171" s="25">
        <v>0</v>
      </c>
      <c r="H171" s="25">
        <v>0</v>
      </c>
      <c r="I171" s="25">
        <v>0</v>
      </c>
      <c r="J171" s="25"/>
      <c r="K171" s="427" t="s">
        <v>130</v>
      </c>
      <c r="L171" s="25">
        <v>1.44574E-3</v>
      </c>
      <c r="M171" s="25">
        <v>3.9567890000000001E-2</v>
      </c>
      <c r="N171" s="25">
        <v>1.0808999999999999E-2</v>
      </c>
      <c r="U171" s="35"/>
      <c r="V171" s="35"/>
      <c r="W171" s="35"/>
      <c r="X171" s="35"/>
      <c r="Z171" s="35"/>
      <c r="AA171" s="35"/>
      <c r="AB171" s="35"/>
      <c r="AC171" s="35"/>
      <c r="AE171" s="35"/>
      <c r="AF171" s="35"/>
      <c r="AG171" s="35"/>
    </row>
    <row r="172" spans="1:33" x14ac:dyDescent="0.25">
      <c r="A172" s="427" t="s">
        <v>386</v>
      </c>
      <c r="B172" s="25">
        <v>0</v>
      </c>
      <c r="C172" s="25">
        <v>0</v>
      </c>
      <c r="D172" s="25">
        <v>0</v>
      </c>
      <c r="E172" s="25"/>
      <c r="F172" s="427" t="s">
        <v>355</v>
      </c>
      <c r="G172" s="25">
        <v>0</v>
      </c>
      <c r="H172" s="25">
        <v>0</v>
      </c>
      <c r="I172" s="25">
        <v>0</v>
      </c>
      <c r="J172" s="25"/>
      <c r="K172" s="427" t="s">
        <v>51</v>
      </c>
      <c r="L172" s="25">
        <v>0</v>
      </c>
      <c r="M172" s="25">
        <v>0</v>
      </c>
      <c r="N172" s="25">
        <v>9.7120000000000001E-3</v>
      </c>
      <c r="U172" s="35"/>
      <c r="V172" s="35"/>
      <c r="W172" s="35"/>
      <c r="X172" s="35"/>
      <c r="Z172" s="35"/>
      <c r="AA172" s="35"/>
      <c r="AB172" s="35"/>
      <c r="AC172" s="35"/>
      <c r="AE172" s="35"/>
      <c r="AF172" s="35"/>
      <c r="AG172" s="35"/>
    </row>
    <row r="173" spans="1:33" x14ac:dyDescent="0.25">
      <c r="A173" s="427" t="s">
        <v>34</v>
      </c>
      <c r="B173" s="25">
        <v>3.539987E-2</v>
      </c>
      <c r="C173" s="25">
        <v>0</v>
      </c>
      <c r="D173" s="25">
        <v>0</v>
      </c>
      <c r="E173" s="25"/>
      <c r="F173" s="427" t="s">
        <v>53</v>
      </c>
      <c r="G173" s="25">
        <v>0</v>
      </c>
      <c r="H173" s="25">
        <v>0</v>
      </c>
      <c r="I173" s="25">
        <v>0</v>
      </c>
      <c r="J173" s="25"/>
      <c r="K173" s="427" t="s">
        <v>114</v>
      </c>
      <c r="L173" s="25">
        <v>0.14411473000000002</v>
      </c>
      <c r="M173" s="25">
        <v>2.3909470000000002E-2</v>
      </c>
      <c r="N173" s="25">
        <v>9.6117700000000004E-3</v>
      </c>
      <c r="U173" s="35"/>
      <c r="V173" s="35"/>
      <c r="W173" s="35"/>
      <c r="X173" s="35"/>
      <c r="Z173" s="35"/>
      <c r="AA173" s="35"/>
      <c r="AB173" s="35"/>
      <c r="AC173" s="35"/>
      <c r="AE173" s="35"/>
      <c r="AF173" s="35"/>
      <c r="AG173" s="35"/>
    </row>
    <row r="174" spans="1:33" x14ac:dyDescent="0.25">
      <c r="A174" s="427" t="s">
        <v>37</v>
      </c>
      <c r="B174" s="25">
        <v>0</v>
      </c>
      <c r="C174" s="25">
        <v>0</v>
      </c>
      <c r="D174" s="25">
        <v>0</v>
      </c>
      <c r="E174" s="25"/>
      <c r="F174" s="427" t="s">
        <v>55</v>
      </c>
      <c r="G174" s="25">
        <v>0</v>
      </c>
      <c r="H174" s="25">
        <v>1.5792E-2</v>
      </c>
      <c r="I174" s="25">
        <v>0</v>
      </c>
      <c r="J174" s="25"/>
      <c r="K174" s="427" t="s">
        <v>170</v>
      </c>
      <c r="L174" s="25">
        <v>1.2449799999999999E-2</v>
      </c>
      <c r="M174" s="25">
        <v>8.9999999999999993E-3</v>
      </c>
      <c r="N174" s="25">
        <v>8.6630000000000006E-3</v>
      </c>
      <c r="U174" s="35"/>
      <c r="V174" s="35"/>
      <c r="W174" s="35"/>
      <c r="X174" s="35"/>
      <c r="Z174" s="35"/>
      <c r="AA174" s="35"/>
      <c r="AB174" s="35"/>
      <c r="AC174" s="35"/>
      <c r="AE174" s="35"/>
      <c r="AF174" s="35"/>
      <c r="AG174" s="35"/>
    </row>
    <row r="175" spans="1:33" x14ac:dyDescent="0.25">
      <c r="A175" s="427" t="s">
        <v>40</v>
      </c>
      <c r="B175" s="25">
        <v>0</v>
      </c>
      <c r="C175" s="25">
        <v>0</v>
      </c>
      <c r="D175" s="25">
        <v>0</v>
      </c>
      <c r="E175" s="25"/>
      <c r="F175" s="427" t="s">
        <v>56</v>
      </c>
      <c r="G175" s="25">
        <v>2.0799999999999999E-4</v>
      </c>
      <c r="H175" s="25">
        <v>0</v>
      </c>
      <c r="I175" s="25">
        <v>0</v>
      </c>
      <c r="J175" s="25"/>
      <c r="K175" s="427" t="s">
        <v>192</v>
      </c>
      <c r="L175" s="25">
        <v>3.4225999999999999E-2</v>
      </c>
      <c r="M175" s="25">
        <v>2.3796000000000001E-4</v>
      </c>
      <c r="N175" s="25">
        <v>7.9625000000000008E-3</v>
      </c>
      <c r="U175" s="35"/>
      <c r="V175" s="35"/>
      <c r="W175" s="35"/>
      <c r="X175" s="35"/>
      <c r="Z175" s="35"/>
      <c r="AA175" s="35"/>
      <c r="AB175" s="35"/>
      <c r="AC175" s="35"/>
      <c r="AE175" s="35"/>
      <c r="AF175" s="35"/>
      <c r="AG175" s="35"/>
    </row>
    <row r="176" spans="1:33" x14ac:dyDescent="0.25">
      <c r="A176" s="427" t="s">
        <v>41</v>
      </c>
      <c r="B176" s="25">
        <v>0</v>
      </c>
      <c r="C176" s="25">
        <v>0</v>
      </c>
      <c r="D176" s="25">
        <v>0</v>
      </c>
      <c r="E176" s="25"/>
      <c r="F176" s="427" t="s">
        <v>59</v>
      </c>
      <c r="G176" s="25">
        <v>0</v>
      </c>
      <c r="H176" s="25">
        <v>0</v>
      </c>
      <c r="I176" s="25">
        <v>0</v>
      </c>
      <c r="J176" s="25"/>
      <c r="K176" s="427" t="s">
        <v>39</v>
      </c>
      <c r="L176" s="25">
        <v>3.3400000000000001E-3</v>
      </c>
      <c r="M176" s="25">
        <v>1.0117580500000001</v>
      </c>
      <c r="N176" s="25">
        <v>6.6E-3</v>
      </c>
      <c r="U176" s="35"/>
      <c r="V176" s="35"/>
      <c r="W176" s="35"/>
      <c r="X176" s="35"/>
      <c r="Z176" s="35"/>
      <c r="AA176" s="35"/>
      <c r="AB176" s="35"/>
      <c r="AC176" s="35"/>
      <c r="AE176" s="35"/>
      <c r="AF176" s="35"/>
      <c r="AG176" s="35"/>
    </row>
    <row r="177" spans="1:33" x14ac:dyDescent="0.25">
      <c r="A177" s="427" t="s">
        <v>375</v>
      </c>
      <c r="B177" s="25">
        <v>0</v>
      </c>
      <c r="C177" s="25">
        <v>0</v>
      </c>
      <c r="D177" s="25">
        <v>0</v>
      </c>
      <c r="E177" s="25"/>
      <c r="F177" s="427" t="s">
        <v>60</v>
      </c>
      <c r="G177" s="25">
        <v>0</v>
      </c>
      <c r="H177" s="25">
        <v>0</v>
      </c>
      <c r="I177" s="25">
        <v>0</v>
      </c>
      <c r="J177" s="25"/>
      <c r="K177" s="427" t="s">
        <v>108</v>
      </c>
      <c r="L177" s="25">
        <v>4.2363999999999999E-2</v>
      </c>
      <c r="M177" s="25">
        <v>2.035E-2</v>
      </c>
      <c r="N177" s="25">
        <v>5.0159999999999996E-3</v>
      </c>
      <c r="U177" s="35"/>
      <c r="V177" s="35"/>
      <c r="W177" s="35"/>
      <c r="X177" s="35"/>
      <c r="Z177" s="35"/>
      <c r="AA177" s="35"/>
      <c r="AB177" s="35"/>
      <c r="AC177" s="35"/>
      <c r="AE177" s="35"/>
      <c r="AF177" s="35"/>
      <c r="AG177" s="35"/>
    </row>
    <row r="178" spans="1:33" x14ac:dyDescent="0.25">
      <c r="A178" s="427" t="s">
        <v>46</v>
      </c>
      <c r="B178" s="25">
        <v>0</v>
      </c>
      <c r="C178" s="25">
        <v>0</v>
      </c>
      <c r="D178" s="25">
        <v>0</v>
      </c>
      <c r="E178" s="25"/>
      <c r="F178" s="427" t="s">
        <v>61</v>
      </c>
      <c r="G178" s="25">
        <v>2.4000000000000001E-5</v>
      </c>
      <c r="H178" s="25">
        <v>0</v>
      </c>
      <c r="I178" s="25">
        <v>0</v>
      </c>
      <c r="J178" s="25"/>
      <c r="K178" s="427" t="s">
        <v>19</v>
      </c>
      <c r="L178" s="25">
        <v>1.8765E-2</v>
      </c>
      <c r="M178" s="25">
        <v>0</v>
      </c>
      <c r="N178" s="25">
        <v>4.8621800000000007E-3</v>
      </c>
      <c r="U178" s="35"/>
      <c r="V178" s="35"/>
      <c r="W178" s="35"/>
      <c r="X178" s="35"/>
      <c r="Z178" s="35"/>
      <c r="AA178" s="35"/>
      <c r="AB178" s="35"/>
      <c r="AC178" s="35"/>
      <c r="AE178" s="35"/>
      <c r="AF178" s="35"/>
      <c r="AG178" s="35"/>
    </row>
    <row r="179" spans="1:33" x14ac:dyDescent="0.25">
      <c r="A179" s="427" t="s">
        <v>47</v>
      </c>
      <c r="B179" s="25">
        <v>0</v>
      </c>
      <c r="C179" s="25">
        <v>0</v>
      </c>
      <c r="D179" s="25">
        <v>0</v>
      </c>
      <c r="E179" s="25"/>
      <c r="F179" s="427" t="s">
        <v>63</v>
      </c>
      <c r="G179" s="25">
        <v>0</v>
      </c>
      <c r="H179" s="25">
        <v>0</v>
      </c>
      <c r="I179" s="25">
        <v>0</v>
      </c>
      <c r="J179" s="25"/>
      <c r="K179" s="427" t="s">
        <v>92</v>
      </c>
      <c r="L179" s="25">
        <v>0.22309842999999999</v>
      </c>
      <c r="M179" s="25">
        <v>3.92319E-2</v>
      </c>
      <c r="N179" s="25">
        <v>4.4021800000000003E-3</v>
      </c>
      <c r="U179" s="35"/>
      <c r="V179" s="35"/>
      <c r="W179" s="35"/>
      <c r="X179" s="35"/>
      <c r="Z179" s="35"/>
      <c r="AA179" s="35"/>
      <c r="AB179" s="35"/>
      <c r="AC179" s="35"/>
      <c r="AE179" s="35"/>
      <c r="AF179" s="35"/>
      <c r="AG179" s="35"/>
    </row>
    <row r="180" spans="1:33" x14ac:dyDescent="0.25">
      <c r="A180" s="427" t="s">
        <v>49</v>
      </c>
      <c r="B180" s="25">
        <v>0</v>
      </c>
      <c r="C180" s="25">
        <v>0</v>
      </c>
      <c r="D180" s="25">
        <v>0</v>
      </c>
      <c r="E180" s="25"/>
      <c r="F180" s="427" t="s">
        <v>372</v>
      </c>
      <c r="G180" s="25">
        <v>0</v>
      </c>
      <c r="H180" s="25">
        <v>0</v>
      </c>
      <c r="I180" s="25">
        <v>0</v>
      </c>
      <c r="J180" s="25"/>
      <c r="K180" s="427" t="s">
        <v>367</v>
      </c>
      <c r="L180" s="25">
        <v>2.0400000000000001E-3</v>
      </c>
      <c r="M180" s="25">
        <v>8.3640000000000006E-2</v>
      </c>
      <c r="N180" s="25">
        <v>4.1139999999999996E-3</v>
      </c>
      <c r="U180" s="35"/>
      <c r="V180" s="35"/>
      <c r="W180" s="35"/>
      <c r="X180" s="35"/>
      <c r="Z180" s="35"/>
      <c r="AA180" s="35"/>
      <c r="AB180" s="35"/>
      <c r="AC180" s="35"/>
      <c r="AE180" s="35"/>
      <c r="AF180" s="35"/>
      <c r="AG180" s="35"/>
    </row>
    <row r="181" spans="1:33" x14ac:dyDescent="0.25">
      <c r="A181" s="427" t="s">
        <v>355</v>
      </c>
      <c r="B181" s="25">
        <v>0</v>
      </c>
      <c r="C181" s="25">
        <v>5.9992600000000002E-3</v>
      </c>
      <c r="D181" s="25">
        <v>0</v>
      </c>
      <c r="E181" s="25"/>
      <c r="F181" s="427" t="s">
        <v>64</v>
      </c>
      <c r="G181" s="25">
        <v>0</v>
      </c>
      <c r="H181" s="25">
        <v>0</v>
      </c>
      <c r="I181" s="25">
        <v>0</v>
      </c>
      <c r="J181" s="25"/>
      <c r="K181" s="427" t="s">
        <v>154</v>
      </c>
      <c r="L181" s="25">
        <v>6.5979999999999997E-3</v>
      </c>
      <c r="M181" s="25">
        <v>1.2899999999999999E-3</v>
      </c>
      <c r="N181" s="25">
        <v>3.8899999999999998E-3</v>
      </c>
      <c r="U181" s="35"/>
      <c r="V181" s="35"/>
      <c r="W181" s="35"/>
      <c r="X181" s="35"/>
      <c r="Z181" s="35"/>
      <c r="AA181" s="35"/>
      <c r="AB181" s="35"/>
      <c r="AC181" s="35"/>
      <c r="AE181" s="35"/>
      <c r="AF181" s="35"/>
      <c r="AG181" s="35"/>
    </row>
    <row r="182" spans="1:33" x14ac:dyDescent="0.25">
      <c r="A182" s="427" t="s">
        <v>56</v>
      </c>
      <c r="B182" s="25">
        <v>0</v>
      </c>
      <c r="C182" s="25">
        <v>0</v>
      </c>
      <c r="D182" s="25">
        <v>0</v>
      </c>
      <c r="E182" s="25"/>
      <c r="F182" s="427" t="s">
        <v>65</v>
      </c>
      <c r="G182" s="25">
        <v>6.4616050000000008E-2</v>
      </c>
      <c r="H182" s="25">
        <v>5.0000000000000002E-5</v>
      </c>
      <c r="I182" s="25">
        <v>0</v>
      </c>
      <c r="J182" s="25"/>
      <c r="K182" s="427" t="s">
        <v>149</v>
      </c>
      <c r="L182" s="25">
        <v>1.425246E-2</v>
      </c>
      <c r="M182" s="25">
        <v>8.8199999999999997E-4</v>
      </c>
      <c r="N182" s="25">
        <v>3.24727E-3</v>
      </c>
      <c r="U182" s="35"/>
      <c r="V182" s="35"/>
      <c r="W182" s="35"/>
      <c r="X182" s="35"/>
      <c r="Z182" s="35"/>
      <c r="AA182" s="35"/>
      <c r="AB182" s="35"/>
      <c r="AC182" s="35"/>
      <c r="AE182" s="35"/>
      <c r="AF182" s="35"/>
      <c r="AG182" s="35"/>
    </row>
    <row r="183" spans="1:33" x14ac:dyDescent="0.25">
      <c r="A183" s="427" t="s">
        <v>57</v>
      </c>
      <c r="B183" s="25">
        <v>2.771E-3</v>
      </c>
      <c r="C183" s="25">
        <v>0</v>
      </c>
      <c r="D183" s="25">
        <v>0</v>
      </c>
      <c r="E183" s="25"/>
      <c r="F183" s="427" t="s">
        <v>357</v>
      </c>
      <c r="G183" s="25">
        <v>0</v>
      </c>
      <c r="H183" s="25">
        <v>0</v>
      </c>
      <c r="I183" s="25">
        <v>0</v>
      </c>
      <c r="J183" s="25"/>
      <c r="K183" s="427" t="s">
        <v>54</v>
      </c>
      <c r="L183" s="25">
        <v>1.1349999999999999E-3</v>
      </c>
      <c r="M183" s="25">
        <v>6.9999999999999994E-5</v>
      </c>
      <c r="N183" s="25">
        <v>2.9010199999999998E-3</v>
      </c>
      <c r="U183" s="35"/>
      <c r="V183" s="35"/>
      <c r="W183" s="35"/>
      <c r="X183" s="35"/>
      <c r="Z183" s="35"/>
      <c r="AA183" s="35"/>
      <c r="AB183" s="35"/>
      <c r="AC183" s="35"/>
      <c r="AE183" s="35"/>
      <c r="AF183" s="35"/>
      <c r="AG183" s="35"/>
    </row>
    <row r="184" spans="1:33" x14ac:dyDescent="0.25">
      <c r="A184" s="427" t="s">
        <v>59</v>
      </c>
      <c r="B184" s="25">
        <v>0</v>
      </c>
      <c r="C184" s="25">
        <v>0</v>
      </c>
      <c r="D184" s="25">
        <v>0</v>
      </c>
      <c r="E184" s="25"/>
      <c r="F184" s="427" t="s">
        <v>68</v>
      </c>
      <c r="G184" s="25">
        <v>0</v>
      </c>
      <c r="H184" s="25">
        <v>0</v>
      </c>
      <c r="I184" s="25">
        <v>0</v>
      </c>
      <c r="J184" s="25"/>
      <c r="K184" s="427" t="s">
        <v>212</v>
      </c>
      <c r="L184" s="25">
        <v>1.4246E-2</v>
      </c>
      <c r="M184" s="25">
        <v>1.34E-2</v>
      </c>
      <c r="N184" s="25">
        <v>2.6251999999999998E-3</v>
      </c>
      <c r="U184" s="35"/>
      <c r="V184" s="35"/>
      <c r="W184" s="35"/>
      <c r="X184" s="35"/>
      <c r="Z184" s="35"/>
      <c r="AA184" s="35"/>
      <c r="AB184" s="35"/>
      <c r="AC184" s="35"/>
      <c r="AE184" s="35"/>
      <c r="AF184" s="35"/>
      <c r="AG184" s="35"/>
    </row>
    <row r="185" spans="1:33" x14ac:dyDescent="0.25">
      <c r="A185" s="427" t="s">
        <v>60</v>
      </c>
      <c r="B185" s="25">
        <v>40.952761170000002</v>
      </c>
      <c r="C185" s="25">
        <v>1.0711243500000001</v>
      </c>
      <c r="D185" s="25">
        <v>0</v>
      </c>
      <c r="E185" s="25"/>
      <c r="F185" s="427" t="s">
        <v>69</v>
      </c>
      <c r="G185" s="25">
        <v>0</v>
      </c>
      <c r="H185" s="25">
        <v>0</v>
      </c>
      <c r="I185" s="25">
        <v>0</v>
      </c>
      <c r="J185" s="25"/>
      <c r="K185" s="427" t="s">
        <v>372</v>
      </c>
      <c r="L185" s="25">
        <v>0</v>
      </c>
      <c r="M185" s="25">
        <v>0</v>
      </c>
      <c r="N185" s="25">
        <v>2.5933699999999998E-3</v>
      </c>
      <c r="U185" s="35"/>
      <c r="V185" s="35"/>
      <c r="W185" s="35"/>
      <c r="X185" s="35"/>
      <c r="Z185" s="35"/>
      <c r="AA185" s="35"/>
      <c r="AB185" s="35"/>
      <c r="AC185" s="35"/>
      <c r="AE185" s="35"/>
      <c r="AF185" s="35"/>
      <c r="AG185" s="35"/>
    </row>
    <row r="186" spans="1:33" x14ac:dyDescent="0.25">
      <c r="A186" s="427" t="s">
        <v>61</v>
      </c>
      <c r="B186" s="25">
        <v>1.584294E-2</v>
      </c>
      <c r="C186" s="25">
        <v>0</v>
      </c>
      <c r="D186" s="25">
        <v>0</v>
      </c>
      <c r="E186" s="25"/>
      <c r="F186" s="427" t="s">
        <v>70</v>
      </c>
      <c r="G186" s="25">
        <v>0</v>
      </c>
      <c r="H186" s="25">
        <v>5.5174200000000003E-3</v>
      </c>
      <c r="I186" s="25">
        <v>0</v>
      </c>
      <c r="J186" s="25"/>
      <c r="K186" s="427" t="s">
        <v>57</v>
      </c>
      <c r="L186" s="25">
        <v>4.1088E-2</v>
      </c>
      <c r="M186" s="25">
        <v>1.5956000000000001E-2</v>
      </c>
      <c r="N186" s="25">
        <v>1.9499999999999999E-3</v>
      </c>
      <c r="U186" s="35"/>
      <c r="V186" s="35"/>
      <c r="W186" s="35"/>
      <c r="X186" s="35"/>
      <c r="Z186" s="35"/>
      <c r="AA186" s="35"/>
      <c r="AB186" s="35"/>
      <c r="AC186" s="35"/>
      <c r="AE186" s="35"/>
      <c r="AF186" s="35"/>
      <c r="AG186" s="35"/>
    </row>
    <row r="187" spans="1:33" x14ac:dyDescent="0.25">
      <c r="A187" s="427" t="s">
        <v>372</v>
      </c>
      <c r="B187" s="25">
        <v>0</v>
      </c>
      <c r="C187" s="25">
        <v>0</v>
      </c>
      <c r="D187" s="25">
        <v>0</v>
      </c>
      <c r="E187" s="25"/>
      <c r="F187" s="427" t="s">
        <v>71</v>
      </c>
      <c r="G187" s="25">
        <v>0</v>
      </c>
      <c r="H187" s="25">
        <v>1.2180699999999999E-3</v>
      </c>
      <c r="I187" s="25">
        <v>0</v>
      </c>
      <c r="J187" s="25"/>
      <c r="K187" s="427" t="s">
        <v>35</v>
      </c>
      <c r="L187" s="25">
        <v>9.3948000000000002E-4</v>
      </c>
      <c r="M187" s="25">
        <v>1.4139999999999999E-3</v>
      </c>
      <c r="N187" s="25">
        <v>1.5635E-3</v>
      </c>
      <c r="U187" s="35"/>
      <c r="V187" s="35"/>
      <c r="W187" s="35"/>
      <c r="X187" s="35"/>
      <c r="Z187" s="35"/>
      <c r="AA187" s="35"/>
      <c r="AB187" s="35"/>
      <c r="AC187" s="35"/>
      <c r="AE187" s="35"/>
      <c r="AF187" s="35"/>
      <c r="AG187" s="35"/>
    </row>
    <row r="188" spans="1:33" x14ac:dyDescent="0.25">
      <c r="A188" s="427" t="s">
        <v>64</v>
      </c>
      <c r="B188" s="25">
        <v>0</v>
      </c>
      <c r="C188" s="25">
        <v>0</v>
      </c>
      <c r="D188" s="25">
        <v>0</v>
      </c>
      <c r="E188" s="25"/>
      <c r="F188" s="427" t="s">
        <v>72</v>
      </c>
      <c r="G188" s="25">
        <v>0</v>
      </c>
      <c r="H188" s="25">
        <v>0</v>
      </c>
      <c r="I188" s="25">
        <v>0</v>
      </c>
      <c r="J188" s="25"/>
      <c r="K188" s="427" t="s">
        <v>56</v>
      </c>
      <c r="L188" s="25">
        <v>1.6930000000000001E-2</v>
      </c>
      <c r="M188" s="25">
        <v>0</v>
      </c>
      <c r="N188" s="25">
        <v>1.5E-3</v>
      </c>
      <c r="U188" s="35"/>
      <c r="V188" s="35"/>
      <c r="W188" s="35"/>
      <c r="X188" s="35"/>
      <c r="Z188" s="35"/>
      <c r="AA188" s="35"/>
      <c r="AB188" s="35"/>
      <c r="AC188" s="35"/>
      <c r="AE188" s="35"/>
      <c r="AF188" s="35"/>
      <c r="AG188" s="35"/>
    </row>
    <row r="189" spans="1:33" x14ac:dyDescent="0.25">
      <c r="A189" s="427" t="s">
        <v>66</v>
      </c>
      <c r="B189" s="25">
        <v>0</v>
      </c>
      <c r="C189" s="25">
        <v>0</v>
      </c>
      <c r="D189" s="25">
        <v>0</v>
      </c>
      <c r="E189" s="25"/>
      <c r="F189" s="427" t="s">
        <v>76</v>
      </c>
      <c r="G189" s="25">
        <v>3.7880000000000001E-3</v>
      </c>
      <c r="H189" s="25">
        <v>0</v>
      </c>
      <c r="I189" s="25">
        <v>0</v>
      </c>
      <c r="J189" s="25"/>
      <c r="K189" s="427" t="s">
        <v>141</v>
      </c>
      <c r="L189" s="25">
        <v>0</v>
      </c>
      <c r="M189" s="25">
        <v>0</v>
      </c>
      <c r="N189" s="25">
        <v>1.488E-3</v>
      </c>
      <c r="U189" s="35"/>
      <c r="V189" s="35"/>
      <c r="W189" s="35"/>
      <c r="X189" s="35"/>
      <c r="Z189" s="35"/>
      <c r="AA189" s="35"/>
      <c r="AB189" s="35"/>
      <c r="AC189" s="35"/>
      <c r="AE189" s="35"/>
      <c r="AF189" s="35"/>
      <c r="AG189" s="35"/>
    </row>
    <row r="190" spans="1:33" x14ac:dyDescent="0.25">
      <c r="A190" s="427" t="s">
        <v>67</v>
      </c>
      <c r="B190" s="25">
        <v>0</v>
      </c>
      <c r="C190" s="25">
        <v>0</v>
      </c>
      <c r="D190" s="25">
        <v>0</v>
      </c>
      <c r="E190" s="25"/>
      <c r="F190" s="427" t="s">
        <v>77</v>
      </c>
      <c r="G190" s="25">
        <v>0</v>
      </c>
      <c r="H190" s="25">
        <v>0</v>
      </c>
      <c r="I190" s="25">
        <v>0</v>
      </c>
      <c r="J190" s="25"/>
      <c r="K190" s="427" t="s">
        <v>194</v>
      </c>
      <c r="L190" s="25">
        <v>7.7780000000000002E-3</v>
      </c>
      <c r="M190" s="25">
        <v>1.16065E-2</v>
      </c>
      <c r="N190" s="25">
        <v>1.1050000000000001E-3</v>
      </c>
      <c r="U190" s="35"/>
      <c r="V190" s="35"/>
      <c r="W190" s="35"/>
      <c r="X190" s="35"/>
      <c r="Z190" s="35"/>
      <c r="AA190" s="35"/>
      <c r="AB190" s="35"/>
      <c r="AC190" s="35"/>
      <c r="AE190" s="35"/>
      <c r="AF190" s="35"/>
      <c r="AG190" s="35"/>
    </row>
    <row r="191" spans="1:33" x14ac:dyDescent="0.25">
      <c r="A191" s="427" t="s">
        <v>357</v>
      </c>
      <c r="B191" s="25">
        <v>0</v>
      </c>
      <c r="C191" s="25">
        <v>0</v>
      </c>
      <c r="D191" s="25">
        <v>0</v>
      </c>
      <c r="E191" s="25"/>
      <c r="F191" s="427" t="s">
        <v>85</v>
      </c>
      <c r="G191" s="25">
        <v>0</v>
      </c>
      <c r="H191" s="25">
        <v>0</v>
      </c>
      <c r="I191" s="25">
        <v>0</v>
      </c>
      <c r="J191" s="25"/>
      <c r="K191" s="427" t="s">
        <v>201</v>
      </c>
      <c r="L191" s="25">
        <v>2.4514000000000001E-2</v>
      </c>
      <c r="M191" s="25">
        <v>6.1464999999999999E-2</v>
      </c>
      <c r="N191" s="25">
        <v>9.6429999999999997E-4</v>
      </c>
      <c r="U191" s="35"/>
      <c r="V191" s="35"/>
      <c r="W191" s="35"/>
      <c r="X191" s="35"/>
      <c r="Z191" s="35"/>
      <c r="AA191" s="35"/>
      <c r="AB191" s="35"/>
      <c r="AC191" s="35"/>
      <c r="AE191" s="35"/>
      <c r="AF191" s="35"/>
      <c r="AG191" s="35"/>
    </row>
    <row r="192" spans="1:33" x14ac:dyDescent="0.25">
      <c r="A192" s="427" t="s">
        <v>71</v>
      </c>
      <c r="B192" s="25">
        <v>0</v>
      </c>
      <c r="C192" s="25">
        <v>0</v>
      </c>
      <c r="D192" s="25">
        <v>0</v>
      </c>
      <c r="E192" s="25"/>
      <c r="F192" s="427" t="s">
        <v>86</v>
      </c>
      <c r="G192" s="25">
        <v>0</v>
      </c>
      <c r="H192" s="25">
        <v>0</v>
      </c>
      <c r="I192" s="25">
        <v>0</v>
      </c>
      <c r="J192" s="25"/>
      <c r="K192" s="427" t="s">
        <v>211</v>
      </c>
      <c r="L192" s="25">
        <v>0.48517016999999996</v>
      </c>
      <c r="M192" s="25">
        <v>7.3150000000000003E-3</v>
      </c>
      <c r="N192" s="25">
        <v>8.9999999999999998E-4</v>
      </c>
      <c r="U192" s="35"/>
      <c r="V192" s="35"/>
      <c r="W192" s="35"/>
      <c r="X192" s="35"/>
      <c r="Z192" s="35"/>
      <c r="AA192" s="35"/>
      <c r="AB192" s="35"/>
      <c r="AC192" s="35"/>
      <c r="AE192" s="35"/>
      <c r="AF192" s="35"/>
      <c r="AG192" s="35"/>
    </row>
    <row r="193" spans="1:33" x14ac:dyDescent="0.25">
      <c r="A193" s="427" t="s">
        <v>77</v>
      </c>
      <c r="B193" s="25">
        <v>0</v>
      </c>
      <c r="C193" s="25">
        <v>0</v>
      </c>
      <c r="D193" s="25">
        <v>0</v>
      </c>
      <c r="E193" s="25"/>
      <c r="F193" s="427" t="s">
        <v>381</v>
      </c>
      <c r="G193" s="25">
        <v>0</v>
      </c>
      <c r="H193" s="25">
        <v>0</v>
      </c>
      <c r="I193" s="25">
        <v>0</v>
      </c>
      <c r="J193" s="25"/>
      <c r="K193" s="427" t="s">
        <v>47</v>
      </c>
      <c r="L193" s="25">
        <v>2.1150000000000001E-3</v>
      </c>
      <c r="M193" s="25">
        <v>2.4329999999999998E-3</v>
      </c>
      <c r="N193" s="25">
        <v>3.1500000000000001E-4</v>
      </c>
      <c r="U193" s="35"/>
      <c r="V193" s="35"/>
      <c r="W193" s="35"/>
      <c r="X193" s="35"/>
      <c r="Z193" s="35"/>
      <c r="AA193" s="35"/>
      <c r="AB193" s="35"/>
      <c r="AC193" s="35"/>
      <c r="AE193" s="35"/>
      <c r="AF193" s="35"/>
      <c r="AG193" s="35"/>
    </row>
    <row r="194" spans="1:33" x14ac:dyDescent="0.25">
      <c r="A194" s="427" t="s">
        <v>82</v>
      </c>
      <c r="B194" s="25">
        <v>0</v>
      </c>
      <c r="C194" s="25">
        <v>0</v>
      </c>
      <c r="D194" s="25">
        <v>0</v>
      </c>
      <c r="E194" s="25"/>
      <c r="F194" s="427" t="s">
        <v>351</v>
      </c>
      <c r="G194" s="25">
        <v>0</v>
      </c>
      <c r="H194" s="25">
        <v>0</v>
      </c>
      <c r="I194" s="25">
        <v>0</v>
      </c>
      <c r="J194" s="25"/>
      <c r="K194" s="427" t="s">
        <v>77</v>
      </c>
      <c r="L194" s="25">
        <v>0</v>
      </c>
      <c r="M194" s="25">
        <v>1.0499999999999999E-3</v>
      </c>
      <c r="N194" s="25">
        <v>1.1E-4</v>
      </c>
      <c r="U194" s="35"/>
      <c r="V194" s="35"/>
      <c r="W194" s="35"/>
      <c r="X194" s="35"/>
      <c r="Z194" s="35"/>
      <c r="AA194" s="35"/>
      <c r="AB194" s="35"/>
      <c r="AC194" s="35"/>
      <c r="AE194" s="35"/>
      <c r="AF194" s="35"/>
      <c r="AG194" s="35"/>
    </row>
    <row r="195" spans="1:33" x14ac:dyDescent="0.25">
      <c r="A195" s="427" t="s">
        <v>83</v>
      </c>
      <c r="B195" s="25">
        <v>0</v>
      </c>
      <c r="C195" s="25">
        <v>1.9532999999999998E-3</v>
      </c>
      <c r="D195" s="25">
        <v>0</v>
      </c>
      <c r="E195" s="25"/>
      <c r="F195" s="427" t="s">
        <v>87</v>
      </c>
      <c r="G195" s="25">
        <v>0</v>
      </c>
      <c r="H195" s="25">
        <v>0</v>
      </c>
      <c r="I195" s="25">
        <v>0</v>
      </c>
      <c r="J195" s="25"/>
      <c r="K195" s="427" t="s">
        <v>53</v>
      </c>
      <c r="L195" s="25">
        <v>0</v>
      </c>
      <c r="M195" s="25">
        <v>2.1000000000000001E-4</v>
      </c>
      <c r="N195" s="25">
        <v>1.05E-4</v>
      </c>
      <c r="U195" s="35"/>
      <c r="V195" s="35"/>
      <c r="W195" s="35"/>
      <c r="X195" s="35"/>
      <c r="Z195" s="35"/>
      <c r="AA195" s="35"/>
      <c r="AB195" s="35"/>
      <c r="AC195" s="35"/>
      <c r="AE195" s="35"/>
      <c r="AF195" s="35"/>
      <c r="AG195" s="35"/>
    </row>
    <row r="196" spans="1:33" x14ac:dyDescent="0.25">
      <c r="A196" s="427" t="s">
        <v>86</v>
      </c>
      <c r="B196" s="25">
        <v>0</v>
      </c>
      <c r="C196" s="25">
        <v>0</v>
      </c>
      <c r="D196" s="25">
        <v>0</v>
      </c>
      <c r="E196" s="25"/>
      <c r="F196" s="427" t="s">
        <v>88</v>
      </c>
      <c r="G196" s="25">
        <v>8.3945000000000005E-4</v>
      </c>
      <c r="H196" s="25">
        <v>5.7741700000000003E-3</v>
      </c>
      <c r="I196" s="25">
        <v>0</v>
      </c>
      <c r="J196" s="25"/>
      <c r="K196" s="427" t="s">
        <v>13</v>
      </c>
      <c r="L196" s="25">
        <v>0.15164117000000002</v>
      </c>
      <c r="M196" s="25">
        <v>0</v>
      </c>
      <c r="N196" s="25">
        <v>1E-4</v>
      </c>
      <c r="U196" s="35"/>
      <c r="V196" s="35"/>
      <c r="W196" s="35"/>
      <c r="X196" s="35"/>
      <c r="Z196" s="35"/>
      <c r="AA196" s="35"/>
      <c r="AB196" s="35"/>
      <c r="AC196" s="35"/>
      <c r="AE196" s="35"/>
      <c r="AF196" s="35"/>
      <c r="AG196" s="35"/>
    </row>
    <row r="197" spans="1:33" x14ac:dyDescent="0.25">
      <c r="A197" s="427" t="s">
        <v>381</v>
      </c>
      <c r="B197" s="25">
        <v>0</v>
      </c>
      <c r="C197" s="25">
        <v>0</v>
      </c>
      <c r="D197" s="25">
        <v>0</v>
      </c>
      <c r="E197" s="25"/>
      <c r="F197" s="427" t="s">
        <v>89</v>
      </c>
      <c r="G197" s="25">
        <v>1.7852490000000002E-2</v>
      </c>
      <c r="H197" s="25">
        <v>6.0000000000000001E-3</v>
      </c>
      <c r="I197" s="25">
        <v>0</v>
      </c>
      <c r="J197" s="25"/>
      <c r="K197" s="427" t="s">
        <v>61</v>
      </c>
      <c r="L197" s="25">
        <v>2.3000000000000001E-4</v>
      </c>
      <c r="M197" s="25">
        <v>0</v>
      </c>
      <c r="N197" s="25">
        <v>5.0000000000000002E-5</v>
      </c>
      <c r="U197" s="35"/>
      <c r="V197" s="35"/>
      <c r="W197" s="35"/>
      <c r="X197" s="35"/>
      <c r="Z197" s="35"/>
      <c r="AA197" s="35"/>
      <c r="AB197" s="35"/>
      <c r="AC197" s="35"/>
      <c r="AE197" s="35"/>
      <c r="AF197" s="35"/>
      <c r="AG197" s="35"/>
    </row>
    <row r="198" spans="1:33" x14ac:dyDescent="0.25">
      <c r="A198" s="427" t="s">
        <v>351</v>
      </c>
      <c r="B198" s="25">
        <v>0</v>
      </c>
      <c r="C198" s="25">
        <v>0</v>
      </c>
      <c r="D198" s="25">
        <v>0</v>
      </c>
      <c r="E198" s="25"/>
      <c r="F198" s="427" t="s">
        <v>91</v>
      </c>
      <c r="G198" s="25">
        <v>0</v>
      </c>
      <c r="H198" s="25">
        <v>0</v>
      </c>
      <c r="I198" s="25">
        <v>0</v>
      </c>
      <c r="J198" s="25"/>
      <c r="K198" s="427" t="s">
        <v>98</v>
      </c>
      <c r="L198" s="25">
        <v>0</v>
      </c>
      <c r="M198" s="25">
        <v>3.3470000000000001E-3</v>
      </c>
      <c r="N198" s="25">
        <v>2.0000000000000002E-5</v>
      </c>
      <c r="U198" s="35"/>
      <c r="V198" s="35"/>
      <c r="W198" s="35"/>
      <c r="X198" s="35"/>
      <c r="Z198" s="35"/>
      <c r="AA198" s="35"/>
      <c r="AB198" s="35"/>
      <c r="AC198" s="35"/>
      <c r="AE198" s="35"/>
      <c r="AF198" s="35"/>
      <c r="AG198" s="35"/>
    </row>
    <row r="199" spans="1:33" x14ac:dyDescent="0.25">
      <c r="A199" s="427" t="s">
        <v>91</v>
      </c>
      <c r="B199" s="25">
        <v>0</v>
      </c>
      <c r="C199" s="25">
        <v>0</v>
      </c>
      <c r="D199" s="25">
        <v>0</v>
      </c>
      <c r="E199" s="25"/>
      <c r="F199" s="427" t="s">
        <v>92</v>
      </c>
      <c r="G199" s="25">
        <v>3.8664999999999999E-4</v>
      </c>
      <c r="H199" s="25">
        <v>0</v>
      </c>
      <c r="I199" s="25">
        <v>0</v>
      </c>
      <c r="J199" s="25"/>
      <c r="K199" s="427" t="s">
        <v>3</v>
      </c>
      <c r="L199" s="25">
        <v>1.011312</v>
      </c>
      <c r="M199" s="25">
        <v>0</v>
      </c>
      <c r="N199" s="25">
        <v>0</v>
      </c>
      <c r="U199" s="35"/>
      <c r="V199" s="35"/>
      <c r="W199" s="35"/>
      <c r="X199" s="35"/>
      <c r="Z199" s="35"/>
      <c r="AA199" s="35"/>
      <c r="AB199" s="35"/>
      <c r="AC199" s="35"/>
      <c r="AE199" s="35"/>
      <c r="AF199" s="35"/>
      <c r="AG199" s="35"/>
    </row>
    <row r="200" spans="1:33" x14ac:dyDescent="0.25">
      <c r="A200" s="427" t="s">
        <v>99</v>
      </c>
      <c r="B200" s="25">
        <v>3.5235000000000002E-2</v>
      </c>
      <c r="C200" s="25">
        <v>0</v>
      </c>
      <c r="D200" s="25">
        <v>0</v>
      </c>
      <c r="E200" s="25"/>
      <c r="F200" s="427" t="s">
        <v>94</v>
      </c>
      <c r="G200" s="25">
        <v>0</v>
      </c>
      <c r="H200" s="25">
        <v>0</v>
      </c>
      <c r="I200" s="25">
        <v>0</v>
      </c>
      <c r="J200" s="25"/>
      <c r="K200" s="427" t="s">
        <v>7</v>
      </c>
      <c r="L200" s="25">
        <v>0</v>
      </c>
      <c r="M200" s="25">
        <v>0.6552</v>
      </c>
      <c r="N200" s="25">
        <v>0</v>
      </c>
      <c r="U200" s="35"/>
      <c r="V200" s="35"/>
      <c r="W200" s="35"/>
      <c r="X200" s="35"/>
      <c r="Z200" s="35"/>
      <c r="AA200" s="35"/>
      <c r="AB200" s="35"/>
      <c r="AC200" s="35"/>
      <c r="AE200" s="35"/>
      <c r="AF200" s="35"/>
      <c r="AG200" s="35"/>
    </row>
    <row r="201" spans="1:33" x14ac:dyDescent="0.25">
      <c r="A201" s="427" t="s">
        <v>379</v>
      </c>
      <c r="B201" s="25">
        <v>2.0118200000000001E-3</v>
      </c>
      <c r="C201" s="25">
        <v>0</v>
      </c>
      <c r="D201" s="25">
        <v>0</v>
      </c>
      <c r="E201" s="25"/>
      <c r="F201" s="427" t="s">
        <v>98</v>
      </c>
      <c r="G201" s="25">
        <v>1.0000000000000001E-5</v>
      </c>
      <c r="H201" s="25">
        <v>0</v>
      </c>
      <c r="I201" s="25">
        <v>0</v>
      </c>
      <c r="J201" s="25"/>
      <c r="K201" s="427" t="s">
        <v>354</v>
      </c>
      <c r="L201" s="25">
        <v>0</v>
      </c>
      <c r="M201" s="25">
        <v>0</v>
      </c>
      <c r="N201" s="25">
        <v>0</v>
      </c>
      <c r="U201" s="35"/>
      <c r="V201" s="35"/>
      <c r="W201" s="35"/>
      <c r="X201" s="35"/>
      <c r="Z201" s="35"/>
      <c r="AA201" s="35"/>
      <c r="AB201" s="35"/>
      <c r="AC201" s="35"/>
      <c r="AE201" s="35"/>
      <c r="AF201" s="35"/>
      <c r="AG201" s="35"/>
    </row>
    <row r="202" spans="1:33" x14ac:dyDescent="0.25">
      <c r="A202" s="427" t="s">
        <v>103</v>
      </c>
      <c r="B202" s="25">
        <v>9.1477349999999999E-2</v>
      </c>
      <c r="C202" s="25">
        <v>0</v>
      </c>
      <c r="D202" s="25">
        <v>0</v>
      </c>
      <c r="E202" s="25"/>
      <c r="F202" s="427" t="s">
        <v>379</v>
      </c>
      <c r="G202" s="25">
        <v>0</v>
      </c>
      <c r="H202" s="25">
        <v>0</v>
      </c>
      <c r="I202" s="25">
        <v>0</v>
      </c>
      <c r="J202" s="25"/>
      <c r="K202" s="427" t="s">
        <v>360</v>
      </c>
      <c r="L202" s="25">
        <v>6.9447600000000003E-3</v>
      </c>
      <c r="M202" s="25">
        <v>0</v>
      </c>
      <c r="N202" s="25">
        <v>0</v>
      </c>
      <c r="U202" s="35"/>
      <c r="V202" s="35"/>
      <c r="W202" s="35"/>
      <c r="X202" s="35"/>
      <c r="Z202" s="35"/>
      <c r="AA202" s="35"/>
      <c r="AB202" s="35"/>
      <c r="AC202" s="35"/>
      <c r="AE202" s="35"/>
      <c r="AF202" s="35"/>
      <c r="AG202" s="35"/>
    </row>
    <row r="203" spans="1:33" x14ac:dyDescent="0.25">
      <c r="A203" s="427" t="s">
        <v>104</v>
      </c>
      <c r="B203" s="25">
        <v>0</v>
      </c>
      <c r="C203" s="25">
        <v>1.5471760000000001E-2</v>
      </c>
      <c r="D203" s="25">
        <v>0</v>
      </c>
      <c r="E203" s="25"/>
      <c r="F203" s="427" t="s">
        <v>103</v>
      </c>
      <c r="G203" s="25">
        <v>0</v>
      </c>
      <c r="H203" s="25">
        <v>0</v>
      </c>
      <c r="I203" s="25">
        <v>0</v>
      </c>
      <c r="J203" s="25"/>
      <c r="K203" s="427" t="s">
        <v>373</v>
      </c>
      <c r="L203" s="25">
        <v>0</v>
      </c>
      <c r="M203" s="25">
        <v>0</v>
      </c>
      <c r="N203" s="25">
        <v>0</v>
      </c>
      <c r="U203" s="35"/>
      <c r="V203" s="35"/>
      <c r="W203" s="35"/>
      <c r="X203" s="35"/>
      <c r="Z203" s="35"/>
      <c r="AA203" s="35"/>
      <c r="AB203" s="35"/>
      <c r="AC203" s="35"/>
      <c r="AE203" s="35"/>
      <c r="AF203" s="35"/>
      <c r="AG203" s="35"/>
    </row>
    <row r="204" spans="1:33" x14ac:dyDescent="0.25">
      <c r="A204" s="427" t="s">
        <v>108</v>
      </c>
      <c r="B204" s="25">
        <v>0</v>
      </c>
      <c r="C204" s="25">
        <v>0</v>
      </c>
      <c r="D204" s="25">
        <v>0</v>
      </c>
      <c r="E204" s="25"/>
      <c r="F204" s="427" t="s">
        <v>107</v>
      </c>
      <c r="G204" s="25">
        <v>0</v>
      </c>
      <c r="H204" s="25">
        <v>0</v>
      </c>
      <c r="I204" s="25">
        <v>0</v>
      </c>
      <c r="J204" s="25"/>
      <c r="K204" s="427" t="s">
        <v>350</v>
      </c>
      <c r="L204" s="25">
        <v>0</v>
      </c>
      <c r="M204" s="25">
        <v>0</v>
      </c>
      <c r="N204" s="25">
        <v>0</v>
      </c>
      <c r="U204" s="35"/>
      <c r="V204" s="35"/>
      <c r="W204" s="35"/>
      <c r="X204" s="35"/>
      <c r="Z204" s="35"/>
      <c r="AA204" s="35"/>
      <c r="AB204" s="35"/>
      <c r="AC204" s="35"/>
      <c r="AE204" s="35"/>
      <c r="AF204" s="35"/>
      <c r="AG204" s="35"/>
    </row>
    <row r="205" spans="1:33" x14ac:dyDescent="0.25">
      <c r="A205" s="427" t="s">
        <v>109</v>
      </c>
      <c r="B205" s="25">
        <v>0</v>
      </c>
      <c r="C205" s="25">
        <v>0</v>
      </c>
      <c r="D205" s="25">
        <v>0</v>
      </c>
      <c r="E205" s="25"/>
      <c r="F205" s="427" t="s">
        <v>109</v>
      </c>
      <c r="G205" s="25">
        <v>0</v>
      </c>
      <c r="H205" s="25">
        <v>1.55E-4</v>
      </c>
      <c r="I205" s="25">
        <v>0</v>
      </c>
      <c r="J205" s="25"/>
      <c r="K205" s="427" t="s">
        <v>387</v>
      </c>
      <c r="L205" s="25">
        <v>7.7999999999999999E-5</v>
      </c>
      <c r="M205" s="25">
        <v>0</v>
      </c>
      <c r="N205" s="25">
        <v>0</v>
      </c>
      <c r="U205" s="35"/>
      <c r="V205" s="35"/>
      <c r="W205" s="35"/>
      <c r="X205" s="35"/>
      <c r="Z205" s="35"/>
      <c r="AA205" s="35"/>
      <c r="AB205" s="35"/>
      <c r="AC205" s="35"/>
      <c r="AE205" s="35"/>
      <c r="AF205" s="35"/>
      <c r="AG205" s="35"/>
    </row>
    <row r="206" spans="1:33" x14ac:dyDescent="0.25">
      <c r="A206" s="427" t="s">
        <v>110</v>
      </c>
      <c r="B206" s="25">
        <v>0</v>
      </c>
      <c r="C206" s="25">
        <v>0</v>
      </c>
      <c r="D206" s="25">
        <v>0</v>
      </c>
      <c r="E206" s="25"/>
      <c r="F206" s="427" t="s">
        <v>352</v>
      </c>
      <c r="G206" s="25">
        <v>0</v>
      </c>
      <c r="H206" s="25">
        <v>0</v>
      </c>
      <c r="I206" s="25">
        <v>0</v>
      </c>
      <c r="J206" s="25"/>
      <c r="K206" s="427" t="s">
        <v>385</v>
      </c>
      <c r="L206" s="25">
        <v>0</v>
      </c>
      <c r="M206" s="25">
        <v>0</v>
      </c>
      <c r="N206" s="25">
        <v>0</v>
      </c>
      <c r="U206" s="35"/>
      <c r="V206" s="35"/>
      <c r="W206" s="35"/>
      <c r="X206" s="35"/>
      <c r="Z206" s="35"/>
      <c r="AA206" s="35"/>
      <c r="AB206" s="35"/>
      <c r="AC206" s="35"/>
      <c r="AE206" s="35"/>
      <c r="AF206" s="35"/>
      <c r="AG206" s="35"/>
    </row>
    <row r="207" spans="1:33" x14ac:dyDescent="0.25">
      <c r="A207" s="427" t="s">
        <v>116</v>
      </c>
      <c r="B207" s="25">
        <v>0</v>
      </c>
      <c r="C207" s="25">
        <v>0</v>
      </c>
      <c r="D207" s="25">
        <v>0</v>
      </c>
      <c r="E207" s="25"/>
      <c r="F207" s="427" t="s">
        <v>116</v>
      </c>
      <c r="G207" s="25">
        <v>2.6891999999999999E-2</v>
      </c>
      <c r="H207" s="25">
        <v>0</v>
      </c>
      <c r="I207" s="25">
        <v>0</v>
      </c>
      <c r="J207" s="25"/>
      <c r="K207" s="427" t="s">
        <v>403</v>
      </c>
      <c r="L207" s="25">
        <v>0</v>
      </c>
      <c r="M207" s="25">
        <v>0</v>
      </c>
      <c r="N207" s="25">
        <v>0</v>
      </c>
      <c r="U207" s="35"/>
      <c r="V207" s="35"/>
      <c r="W207" s="35"/>
      <c r="X207" s="35"/>
      <c r="Z207" s="35"/>
      <c r="AA207" s="35"/>
      <c r="AB207" s="35"/>
      <c r="AC207" s="35"/>
      <c r="AE207" s="35"/>
      <c r="AF207" s="35"/>
      <c r="AG207" s="35"/>
    </row>
    <row r="208" spans="1:33" x14ac:dyDescent="0.25">
      <c r="A208" s="427" t="s">
        <v>356</v>
      </c>
      <c r="B208" s="25">
        <v>1.1322870000000001E-2</v>
      </c>
      <c r="C208" s="25">
        <v>0.30256899999999998</v>
      </c>
      <c r="D208" s="25">
        <v>0</v>
      </c>
      <c r="E208" s="25"/>
      <c r="F208" s="427" t="s">
        <v>117</v>
      </c>
      <c r="G208" s="25">
        <v>1.8959999999999999E-3</v>
      </c>
      <c r="H208" s="25">
        <v>2.0261029999999999E-2</v>
      </c>
      <c r="I208" s="25">
        <v>0</v>
      </c>
      <c r="J208" s="25"/>
      <c r="K208" s="427" t="s">
        <v>386</v>
      </c>
      <c r="L208" s="25">
        <v>1.652E-2</v>
      </c>
      <c r="M208" s="25">
        <v>0</v>
      </c>
      <c r="N208" s="25">
        <v>0</v>
      </c>
      <c r="U208" s="35"/>
      <c r="V208" s="35"/>
      <c r="W208" s="35"/>
      <c r="X208" s="35"/>
      <c r="Z208" s="35"/>
      <c r="AA208" s="35"/>
      <c r="AB208" s="35"/>
      <c r="AC208" s="35"/>
      <c r="AE208" s="35"/>
      <c r="AF208" s="35"/>
      <c r="AG208" s="35"/>
    </row>
    <row r="209" spans="1:33" x14ac:dyDescent="0.25">
      <c r="A209" s="427" t="s">
        <v>383</v>
      </c>
      <c r="B209" s="25">
        <v>1.5522610000000001E-2</v>
      </c>
      <c r="C209" s="25">
        <v>0</v>
      </c>
      <c r="D209" s="25">
        <v>0</v>
      </c>
      <c r="E209" s="25"/>
      <c r="F209" s="427" t="s">
        <v>118</v>
      </c>
      <c r="G209" s="25">
        <v>1.0120000000000001E-2</v>
      </c>
      <c r="H209" s="25">
        <v>1.93E-4</v>
      </c>
      <c r="I209" s="25">
        <v>0</v>
      </c>
      <c r="J209" s="25"/>
      <c r="K209" s="427" t="s">
        <v>34</v>
      </c>
      <c r="L209" s="25">
        <v>0</v>
      </c>
      <c r="M209" s="25">
        <v>0</v>
      </c>
      <c r="N209" s="25">
        <v>0</v>
      </c>
      <c r="U209" s="35"/>
      <c r="V209" s="35"/>
      <c r="W209" s="35"/>
      <c r="X209" s="35"/>
      <c r="Z209" s="35"/>
      <c r="AA209" s="35"/>
      <c r="AB209" s="35"/>
      <c r="AC209" s="35"/>
      <c r="AE209" s="35"/>
      <c r="AF209" s="35"/>
      <c r="AG209" s="35"/>
    </row>
    <row r="210" spans="1:33" x14ac:dyDescent="0.25">
      <c r="A210" s="427" t="s">
        <v>368</v>
      </c>
      <c r="B210" s="25">
        <v>0</v>
      </c>
      <c r="C210" s="25">
        <v>0</v>
      </c>
      <c r="D210" s="25">
        <v>0</v>
      </c>
      <c r="E210" s="25"/>
      <c r="F210" s="427" t="s">
        <v>356</v>
      </c>
      <c r="G210" s="25">
        <v>0</v>
      </c>
      <c r="H210" s="25">
        <v>0</v>
      </c>
      <c r="I210" s="25">
        <v>0</v>
      </c>
      <c r="J210" s="25"/>
      <c r="K210" s="427" t="s">
        <v>41</v>
      </c>
      <c r="L210" s="25">
        <v>7.7000000000000001E-5</v>
      </c>
      <c r="M210" s="25">
        <v>0</v>
      </c>
      <c r="N210" s="25">
        <v>0</v>
      </c>
      <c r="U210" s="35"/>
      <c r="V210" s="35"/>
      <c r="W210" s="35"/>
      <c r="X210" s="35"/>
      <c r="Z210" s="35"/>
      <c r="AA210" s="35"/>
      <c r="AB210" s="35"/>
      <c r="AC210" s="35"/>
      <c r="AE210" s="35"/>
      <c r="AF210" s="35"/>
      <c r="AG210" s="35"/>
    </row>
    <row r="211" spans="1:33" x14ac:dyDescent="0.25">
      <c r="A211" s="427" t="s">
        <v>126</v>
      </c>
      <c r="B211" s="25">
        <v>0.35659259999999998</v>
      </c>
      <c r="C211" s="25">
        <v>0</v>
      </c>
      <c r="D211" s="25">
        <v>0</v>
      </c>
      <c r="E211" s="25"/>
      <c r="F211" s="427" t="s">
        <v>122</v>
      </c>
      <c r="G211" s="25">
        <v>0</v>
      </c>
      <c r="H211" s="25">
        <v>0</v>
      </c>
      <c r="I211" s="25">
        <v>0</v>
      </c>
      <c r="J211" s="25"/>
      <c r="K211" s="427" t="s">
        <v>375</v>
      </c>
      <c r="L211" s="25">
        <v>1.8680000000000001E-3</v>
      </c>
      <c r="M211" s="25">
        <v>0</v>
      </c>
      <c r="N211" s="25">
        <v>0</v>
      </c>
      <c r="U211" s="35"/>
      <c r="V211" s="35"/>
      <c r="W211" s="35"/>
      <c r="X211" s="35"/>
      <c r="Z211" s="35"/>
      <c r="AA211" s="35"/>
      <c r="AB211" s="35"/>
      <c r="AC211" s="35"/>
      <c r="AE211" s="35"/>
      <c r="AF211" s="35"/>
      <c r="AG211" s="35"/>
    </row>
    <row r="212" spans="1:33" x14ac:dyDescent="0.25">
      <c r="A212" s="427" t="s">
        <v>128</v>
      </c>
      <c r="B212" s="25">
        <v>0</v>
      </c>
      <c r="C212" s="25">
        <v>0</v>
      </c>
      <c r="D212" s="25">
        <v>0</v>
      </c>
      <c r="E212" s="25"/>
      <c r="F212" s="427" t="s">
        <v>123</v>
      </c>
      <c r="G212" s="25">
        <v>3.2899999999999997E-4</v>
      </c>
      <c r="H212" s="25">
        <v>0</v>
      </c>
      <c r="I212" s="25">
        <v>0</v>
      </c>
      <c r="J212" s="25"/>
      <c r="K212" s="427" t="s">
        <v>43</v>
      </c>
      <c r="L212" s="25">
        <v>1.6082E-4</v>
      </c>
      <c r="M212" s="25">
        <v>1.73448E-3</v>
      </c>
      <c r="N212" s="25">
        <v>0</v>
      </c>
      <c r="U212" s="35"/>
      <c r="V212" s="35"/>
      <c r="W212" s="35"/>
      <c r="X212" s="35"/>
      <c r="Z212" s="35"/>
      <c r="AA212" s="35"/>
      <c r="AB212" s="35"/>
      <c r="AC212" s="35"/>
      <c r="AE212" s="35"/>
      <c r="AF212" s="35"/>
      <c r="AG212" s="35"/>
    </row>
    <row r="213" spans="1:33" x14ac:dyDescent="0.25">
      <c r="A213" s="427" t="s">
        <v>370</v>
      </c>
      <c r="B213" s="25">
        <v>0</v>
      </c>
      <c r="C213" s="25">
        <v>0</v>
      </c>
      <c r="D213" s="25">
        <v>0</v>
      </c>
      <c r="E213" s="25"/>
      <c r="F213" s="427" t="s">
        <v>383</v>
      </c>
      <c r="G213" s="25">
        <v>0</v>
      </c>
      <c r="H213" s="25">
        <v>0</v>
      </c>
      <c r="I213" s="25">
        <v>0</v>
      </c>
      <c r="J213" s="25"/>
      <c r="K213" s="427" t="s">
        <v>49</v>
      </c>
      <c r="L213" s="25">
        <v>0.46318300000000001</v>
      </c>
      <c r="M213" s="25">
        <v>4.5504000000000003E-2</v>
      </c>
      <c r="N213" s="25">
        <v>0</v>
      </c>
      <c r="U213" s="35"/>
      <c r="V213" s="35"/>
      <c r="W213" s="35"/>
      <c r="X213" s="35"/>
      <c r="Z213" s="35"/>
      <c r="AA213" s="35"/>
      <c r="AB213" s="35"/>
      <c r="AC213" s="35"/>
      <c r="AE213" s="35"/>
      <c r="AF213" s="35"/>
      <c r="AG213" s="35"/>
    </row>
    <row r="214" spans="1:33" x14ac:dyDescent="0.25">
      <c r="A214" s="427" t="s">
        <v>401</v>
      </c>
      <c r="B214" s="25">
        <v>0</v>
      </c>
      <c r="C214" s="25">
        <v>0</v>
      </c>
      <c r="D214" s="25">
        <v>0</v>
      </c>
      <c r="E214" s="25"/>
      <c r="F214" s="427" t="s">
        <v>125</v>
      </c>
      <c r="G214" s="25">
        <v>1.6115999999999998E-2</v>
      </c>
      <c r="H214" s="25">
        <v>6.8999999999999997E-5</v>
      </c>
      <c r="I214" s="25">
        <v>0</v>
      </c>
      <c r="J214" s="25"/>
      <c r="K214" s="427" t="s">
        <v>52</v>
      </c>
      <c r="L214" s="25">
        <v>0</v>
      </c>
      <c r="M214" s="25">
        <v>0</v>
      </c>
      <c r="N214" s="25">
        <v>0</v>
      </c>
      <c r="U214" s="35"/>
      <c r="V214" s="35"/>
      <c r="W214" s="35"/>
      <c r="X214" s="35"/>
      <c r="Z214" s="35"/>
      <c r="AA214" s="35"/>
      <c r="AB214" s="35"/>
      <c r="AC214" s="35"/>
      <c r="AE214" s="35"/>
      <c r="AF214" s="35"/>
      <c r="AG214" s="35"/>
    </row>
    <row r="215" spans="1:33" x14ac:dyDescent="0.25">
      <c r="A215" s="427" t="s">
        <v>377</v>
      </c>
      <c r="B215" s="25">
        <v>0</v>
      </c>
      <c r="C215" s="25">
        <v>0</v>
      </c>
      <c r="D215" s="25">
        <v>0</v>
      </c>
      <c r="E215" s="25"/>
      <c r="F215" s="427" t="s">
        <v>368</v>
      </c>
      <c r="G215" s="25">
        <v>0</v>
      </c>
      <c r="H215" s="25">
        <v>0</v>
      </c>
      <c r="I215" s="25">
        <v>0</v>
      </c>
      <c r="J215" s="25"/>
      <c r="K215" s="427" t="s">
        <v>355</v>
      </c>
      <c r="L215" s="25">
        <v>0</v>
      </c>
      <c r="M215" s="25">
        <v>0</v>
      </c>
      <c r="N215" s="25">
        <v>0</v>
      </c>
      <c r="U215" s="35"/>
      <c r="V215" s="35"/>
      <c r="W215" s="35"/>
      <c r="X215" s="35"/>
      <c r="Z215" s="35"/>
      <c r="AA215" s="35"/>
      <c r="AB215" s="35"/>
      <c r="AC215" s="35"/>
      <c r="AE215" s="35"/>
      <c r="AF215" s="35"/>
      <c r="AG215" s="35"/>
    </row>
    <row r="216" spans="1:33" x14ac:dyDescent="0.25">
      <c r="A216" s="427" t="s">
        <v>139</v>
      </c>
      <c r="B216" s="25">
        <v>0</v>
      </c>
      <c r="C216" s="25">
        <v>0</v>
      </c>
      <c r="D216" s="25">
        <v>0</v>
      </c>
      <c r="E216" s="25"/>
      <c r="F216" s="427" t="s">
        <v>126</v>
      </c>
      <c r="G216" s="25">
        <v>0</v>
      </c>
      <c r="H216" s="25">
        <v>0</v>
      </c>
      <c r="I216" s="25">
        <v>0</v>
      </c>
      <c r="J216" s="25"/>
      <c r="K216" s="427" t="s">
        <v>59</v>
      </c>
      <c r="L216" s="25">
        <v>0</v>
      </c>
      <c r="M216" s="25">
        <v>1.56E-4</v>
      </c>
      <c r="N216" s="25">
        <v>0</v>
      </c>
      <c r="U216" s="35"/>
      <c r="V216" s="35"/>
      <c r="W216" s="35"/>
      <c r="X216" s="35"/>
      <c r="Z216" s="35"/>
      <c r="AA216" s="35"/>
      <c r="AB216" s="35"/>
      <c r="AC216" s="35"/>
      <c r="AE216" s="35"/>
      <c r="AF216" s="35"/>
      <c r="AG216" s="35"/>
    </row>
    <row r="217" spans="1:33" x14ac:dyDescent="0.25">
      <c r="A217" s="427" t="s">
        <v>141</v>
      </c>
      <c r="B217" s="25">
        <v>0</v>
      </c>
      <c r="C217" s="25">
        <v>0</v>
      </c>
      <c r="D217" s="25">
        <v>0</v>
      </c>
      <c r="E217" s="25"/>
      <c r="F217" s="427" t="s">
        <v>129</v>
      </c>
      <c r="G217" s="25">
        <v>1E-4</v>
      </c>
      <c r="H217" s="25">
        <v>0</v>
      </c>
      <c r="I217" s="25">
        <v>0</v>
      </c>
      <c r="J217" s="25"/>
      <c r="K217" s="427" t="s">
        <v>65</v>
      </c>
      <c r="L217" s="25">
        <v>3.36</v>
      </c>
      <c r="M217" s="25">
        <v>1E-4</v>
      </c>
      <c r="N217" s="25">
        <v>0</v>
      </c>
      <c r="U217" s="35"/>
      <c r="V217" s="35"/>
      <c r="W217" s="35"/>
      <c r="X217" s="35"/>
      <c r="Z217" s="35"/>
      <c r="AA217" s="35"/>
      <c r="AB217" s="35"/>
      <c r="AC217" s="35"/>
      <c r="AE217" s="35"/>
      <c r="AF217" s="35"/>
      <c r="AG217" s="35"/>
    </row>
    <row r="218" spans="1:33" x14ac:dyDescent="0.25">
      <c r="A218" s="427" t="s">
        <v>144</v>
      </c>
      <c r="B218" s="25">
        <v>0</v>
      </c>
      <c r="C218" s="25">
        <v>0</v>
      </c>
      <c r="D218" s="25">
        <v>0</v>
      </c>
      <c r="E218" s="25"/>
      <c r="F218" s="427" t="s">
        <v>370</v>
      </c>
      <c r="G218" s="25">
        <v>0</v>
      </c>
      <c r="H218" s="25">
        <v>0</v>
      </c>
      <c r="I218" s="25">
        <v>0</v>
      </c>
      <c r="J218" s="25"/>
      <c r="K218" s="427" t="s">
        <v>357</v>
      </c>
      <c r="L218" s="25">
        <v>0</v>
      </c>
      <c r="M218" s="25">
        <v>0</v>
      </c>
      <c r="N218" s="25">
        <v>0</v>
      </c>
      <c r="U218" s="35"/>
      <c r="V218" s="35"/>
      <c r="W218" s="35"/>
      <c r="X218" s="35"/>
      <c r="Z218" s="35"/>
      <c r="AA218" s="35"/>
      <c r="AB218" s="35"/>
      <c r="AC218" s="35"/>
      <c r="AE218" s="35"/>
      <c r="AF218" s="35"/>
      <c r="AG218" s="35"/>
    </row>
    <row r="219" spans="1:33" x14ac:dyDescent="0.25">
      <c r="A219" s="427" t="s">
        <v>145</v>
      </c>
      <c r="B219" s="25">
        <v>0</v>
      </c>
      <c r="C219" s="25">
        <v>0</v>
      </c>
      <c r="D219" s="25">
        <v>0</v>
      </c>
      <c r="E219" s="25"/>
      <c r="F219" s="427" t="s">
        <v>130</v>
      </c>
      <c r="G219" s="25">
        <v>0</v>
      </c>
      <c r="H219" s="25">
        <v>0</v>
      </c>
      <c r="I219" s="25">
        <v>0</v>
      </c>
      <c r="J219" s="25"/>
      <c r="K219" s="427" t="s">
        <v>70</v>
      </c>
      <c r="L219" s="25">
        <v>0</v>
      </c>
      <c r="M219" s="25">
        <v>0</v>
      </c>
      <c r="N219" s="25">
        <v>0</v>
      </c>
      <c r="U219" s="35"/>
      <c r="V219" s="35"/>
      <c r="W219" s="35"/>
      <c r="X219" s="35"/>
      <c r="Z219" s="35"/>
      <c r="AA219" s="35"/>
      <c r="AB219" s="35"/>
      <c r="AC219" s="35"/>
      <c r="AE219" s="35"/>
      <c r="AF219" s="35"/>
      <c r="AG219" s="35"/>
    </row>
    <row r="220" spans="1:33" x14ac:dyDescent="0.25">
      <c r="A220" s="427" t="s">
        <v>147</v>
      </c>
      <c r="B220" s="25">
        <v>1.1849999999999999E-2</v>
      </c>
      <c r="C220" s="25">
        <v>0</v>
      </c>
      <c r="D220" s="25">
        <v>0</v>
      </c>
      <c r="E220" s="25"/>
      <c r="F220" s="427" t="s">
        <v>401</v>
      </c>
      <c r="G220" s="25">
        <v>0</v>
      </c>
      <c r="H220" s="25">
        <v>0</v>
      </c>
      <c r="I220" s="25">
        <v>0</v>
      </c>
      <c r="J220" s="25"/>
      <c r="K220" s="427" t="s">
        <v>71</v>
      </c>
      <c r="L220" s="25">
        <v>0</v>
      </c>
      <c r="M220" s="25">
        <v>5.9552899999999998</v>
      </c>
      <c r="N220" s="25">
        <v>0</v>
      </c>
      <c r="U220" s="35"/>
      <c r="V220" s="35"/>
      <c r="W220" s="35"/>
      <c r="X220" s="35"/>
      <c r="Z220" s="35"/>
      <c r="AA220" s="35"/>
      <c r="AB220" s="35"/>
      <c r="AC220" s="35"/>
      <c r="AE220" s="35"/>
      <c r="AF220" s="35"/>
      <c r="AG220" s="35"/>
    </row>
    <row r="221" spans="1:33" x14ac:dyDescent="0.25">
      <c r="A221" s="427" t="s">
        <v>148</v>
      </c>
      <c r="B221" s="25">
        <v>0</v>
      </c>
      <c r="C221" s="25">
        <v>0</v>
      </c>
      <c r="D221" s="25">
        <v>0</v>
      </c>
      <c r="E221" s="25"/>
      <c r="F221" s="427" t="s">
        <v>377</v>
      </c>
      <c r="G221" s="25">
        <v>7.6999999999999996E-4</v>
      </c>
      <c r="H221" s="25">
        <v>0</v>
      </c>
      <c r="I221" s="25">
        <v>0</v>
      </c>
      <c r="J221" s="25"/>
      <c r="K221" s="427" t="s">
        <v>72</v>
      </c>
      <c r="L221" s="25">
        <v>2.03047106</v>
      </c>
      <c r="M221" s="25">
        <v>0</v>
      </c>
      <c r="N221" s="25">
        <v>0</v>
      </c>
      <c r="U221" s="35"/>
      <c r="V221" s="35"/>
      <c r="W221" s="35"/>
      <c r="X221" s="35"/>
      <c r="Z221" s="35"/>
      <c r="AA221" s="35"/>
      <c r="AB221" s="35"/>
      <c r="AC221" s="35"/>
      <c r="AE221" s="35"/>
      <c r="AF221" s="35"/>
      <c r="AG221" s="35"/>
    </row>
    <row r="222" spans="1:33" x14ac:dyDescent="0.25">
      <c r="A222" s="427" t="s">
        <v>150</v>
      </c>
      <c r="B222" s="25">
        <v>0</v>
      </c>
      <c r="C222" s="25">
        <v>0</v>
      </c>
      <c r="D222" s="25">
        <v>0</v>
      </c>
      <c r="E222" s="25"/>
      <c r="F222" s="427" t="s">
        <v>131</v>
      </c>
      <c r="G222" s="25">
        <v>0</v>
      </c>
      <c r="H222" s="25">
        <v>0</v>
      </c>
      <c r="I222" s="25">
        <v>0</v>
      </c>
      <c r="J222" s="25"/>
      <c r="K222" s="427" t="s">
        <v>86</v>
      </c>
      <c r="L222" s="25">
        <v>0.11171735000000001</v>
      </c>
      <c r="M222" s="25">
        <v>1.1056E-2</v>
      </c>
      <c r="N222" s="25">
        <v>0</v>
      </c>
      <c r="U222" s="35"/>
      <c r="V222" s="35"/>
      <c r="W222" s="35"/>
      <c r="X222" s="35"/>
      <c r="Z222" s="35"/>
      <c r="AA222" s="35"/>
      <c r="AB222" s="35"/>
      <c r="AC222" s="35"/>
      <c r="AE222" s="35"/>
      <c r="AF222" s="35"/>
      <c r="AG222" s="35"/>
    </row>
    <row r="223" spans="1:33" x14ac:dyDescent="0.25">
      <c r="A223" s="427" t="s">
        <v>152</v>
      </c>
      <c r="B223" s="25">
        <v>0</v>
      </c>
      <c r="C223" s="25">
        <v>0</v>
      </c>
      <c r="D223" s="25">
        <v>0</v>
      </c>
      <c r="E223" s="25"/>
      <c r="F223" s="427" t="s">
        <v>132</v>
      </c>
      <c r="G223" s="25">
        <v>3.0498500000000001E-2</v>
      </c>
      <c r="H223" s="25">
        <v>1.5E-5</v>
      </c>
      <c r="I223" s="25">
        <v>0</v>
      </c>
      <c r="J223" s="25"/>
      <c r="K223" s="427" t="s">
        <v>381</v>
      </c>
      <c r="L223" s="25">
        <v>0</v>
      </c>
      <c r="M223" s="25">
        <v>0</v>
      </c>
      <c r="N223" s="25">
        <v>0</v>
      </c>
      <c r="U223" s="35"/>
      <c r="V223" s="35"/>
      <c r="W223" s="35"/>
      <c r="X223" s="35"/>
      <c r="Z223" s="35"/>
      <c r="AA223" s="35"/>
      <c r="AB223" s="35"/>
      <c r="AC223" s="35"/>
      <c r="AE223" s="35"/>
      <c r="AF223" s="35"/>
      <c r="AG223" s="35"/>
    </row>
    <row r="224" spans="1:33" x14ac:dyDescent="0.25">
      <c r="A224" s="427" t="s">
        <v>153</v>
      </c>
      <c r="B224" s="25">
        <v>0</v>
      </c>
      <c r="C224" s="25">
        <v>0</v>
      </c>
      <c r="D224" s="25">
        <v>0</v>
      </c>
      <c r="E224" s="25"/>
      <c r="F224" s="427" t="s">
        <v>139</v>
      </c>
      <c r="G224" s="25">
        <v>0</v>
      </c>
      <c r="H224" s="25">
        <v>0</v>
      </c>
      <c r="I224" s="25">
        <v>0</v>
      </c>
      <c r="J224" s="25"/>
      <c r="K224" s="427" t="s">
        <v>351</v>
      </c>
      <c r="L224" s="25">
        <v>1.5386944899999999</v>
      </c>
      <c r="M224" s="25">
        <v>9.6299999999999997E-3</v>
      </c>
      <c r="N224" s="25">
        <v>0</v>
      </c>
      <c r="U224" s="35"/>
      <c r="V224" s="35"/>
      <c r="W224" s="35"/>
      <c r="X224" s="35"/>
      <c r="Z224" s="35"/>
      <c r="AA224" s="35"/>
      <c r="AB224" s="35"/>
      <c r="AC224" s="35"/>
      <c r="AE224" s="35"/>
      <c r="AF224" s="35"/>
      <c r="AG224" s="35"/>
    </row>
    <row r="225" spans="1:33" x14ac:dyDescent="0.25">
      <c r="A225" s="427" t="s">
        <v>154</v>
      </c>
      <c r="B225" s="25">
        <v>0</v>
      </c>
      <c r="C225" s="25">
        <v>0</v>
      </c>
      <c r="D225" s="25">
        <v>0</v>
      </c>
      <c r="E225" s="25"/>
      <c r="F225" s="427" t="s">
        <v>141</v>
      </c>
      <c r="G225" s="25">
        <v>0</v>
      </c>
      <c r="H225" s="25">
        <v>2.6127852300000001</v>
      </c>
      <c r="I225" s="25">
        <v>0</v>
      </c>
      <c r="J225" s="25"/>
      <c r="K225" s="427" t="s">
        <v>91</v>
      </c>
      <c r="L225" s="25">
        <v>6.0000000000000002E-5</v>
      </c>
      <c r="M225" s="25">
        <v>0</v>
      </c>
      <c r="N225" s="25">
        <v>0</v>
      </c>
      <c r="U225" s="35"/>
      <c r="V225" s="35"/>
      <c r="W225" s="35"/>
      <c r="X225" s="35"/>
      <c r="Z225" s="35"/>
      <c r="AA225" s="35"/>
      <c r="AB225" s="35"/>
      <c r="AC225" s="35"/>
      <c r="AE225" s="35"/>
      <c r="AF225" s="35"/>
      <c r="AG225" s="35"/>
    </row>
    <row r="226" spans="1:33" x14ac:dyDescent="0.25">
      <c r="A226" s="427" t="s">
        <v>155</v>
      </c>
      <c r="B226" s="25">
        <v>0.18803739999999999</v>
      </c>
      <c r="C226" s="25">
        <v>0</v>
      </c>
      <c r="D226" s="25">
        <v>0</v>
      </c>
      <c r="E226" s="25"/>
      <c r="F226" s="427" t="s">
        <v>142</v>
      </c>
      <c r="G226" s="25">
        <v>2.0500000000000002E-3</v>
      </c>
      <c r="H226" s="25">
        <v>0.28411378999999998</v>
      </c>
      <c r="I226" s="25">
        <v>0</v>
      </c>
      <c r="J226" s="25"/>
      <c r="K226" s="427" t="s">
        <v>99</v>
      </c>
      <c r="L226" s="25">
        <v>0</v>
      </c>
      <c r="M226" s="25">
        <v>0</v>
      </c>
      <c r="N226" s="25">
        <v>0</v>
      </c>
      <c r="U226" s="35"/>
      <c r="V226" s="35"/>
      <c r="W226" s="35"/>
      <c r="X226" s="35"/>
      <c r="Z226" s="35"/>
      <c r="AA226" s="35"/>
      <c r="AB226" s="35"/>
      <c r="AC226" s="35"/>
      <c r="AE226" s="35"/>
      <c r="AF226" s="35"/>
      <c r="AG226" s="35"/>
    </row>
    <row r="227" spans="1:33" x14ac:dyDescent="0.25">
      <c r="A227" s="427" t="s">
        <v>165</v>
      </c>
      <c r="B227" s="25">
        <v>1E-4</v>
      </c>
      <c r="C227" s="25">
        <v>0</v>
      </c>
      <c r="D227" s="25">
        <v>0</v>
      </c>
      <c r="E227" s="25"/>
      <c r="F227" s="427" t="s">
        <v>144</v>
      </c>
      <c r="G227" s="25">
        <v>1.9544990000000002E-2</v>
      </c>
      <c r="H227" s="25">
        <v>0</v>
      </c>
      <c r="I227" s="25">
        <v>0</v>
      </c>
      <c r="J227" s="25"/>
      <c r="K227" s="427" t="s">
        <v>379</v>
      </c>
      <c r="L227" s="25">
        <v>0</v>
      </c>
      <c r="M227" s="25">
        <v>2.0392399999999999E-3</v>
      </c>
      <c r="N227" s="25">
        <v>0</v>
      </c>
      <c r="U227" s="35"/>
      <c r="V227" s="35"/>
      <c r="W227" s="35"/>
      <c r="X227" s="35"/>
      <c r="Z227" s="35"/>
      <c r="AA227" s="35"/>
      <c r="AB227" s="35"/>
      <c r="AC227" s="35"/>
      <c r="AE227" s="35"/>
      <c r="AF227" s="35"/>
      <c r="AG227" s="35"/>
    </row>
    <row r="228" spans="1:33" x14ac:dyDescent="0.25">
      <c r="A228" s="427" t="s">
        <v>168</v>
      </c>
      <c r="B228" s="25">
        <v>0</v>
      </c>
      <c r="C228" s="25">
        <v>0</v>
      </c>
      <c r="D228" s="25">
        <v>0</v>
      </c>
      <c r="E228" s="25"/>
      <c r="F228" s="427" t="s">
        <v>145</v>
      </c>
      <c r="G228" s="25">
        <v>0</v>
      </c>
      <c r="H228" s="25">
        <v>0</v>
      </c>
      <c r="I228" s="25">
        <v>0</v>
      </c>
      <c r="J228" s="25"/>
      <c r="K228" s="427" t="s">
        <v>109</v>
      </c>
      <c r="L228" s="25">
        <v>2.5969999999999999E-3</v>
      </c>
      <c r="M228" s="25">
        <v>1E-4</v>
      </c>
      <c r="N228" s="25">
        <v>0</v>
      </c>
      <c r="U228" s="35"/>
      <c r="V228" s="35"/>
      <c r="W228" s="35"/>
      <c r="X228" s="35"/>
      <c r="Z228" s="35"/>
      <c r="AA228" s="35"/>
      <c r="AB228" s="35"/>
      <c r="AC228" s="35"/>
      <c r="AE228" s="35"/>
      <c r="AF228" s="35"/>
      <c r="AG228" s="35"/>
    </row>
    <row r="229" spans="1:33" x14ac:dyDescent="0.25">
      <c r="A229" s="427" t="s">
        <v>169</v>
      </c>
      <c r="B229" s="25">
        <v>0</v>
      </c>
      <c r="C229" s="25">
        <v>0</v>
      </c>
      <c r="D229" s="25">
        <v>0</v>
      </c>
      <c r="E229" s="25"/>
      <c r="F229" s="427" t="s">
        <v>147</v>
      </c>
      <c r="G229" s="25">
        <v>0</v>
      </c>
      <c r="H229" s="25">
        <v>0</v>
      </c>
      <c r="I229" s="25">
        <v>0</v>
      </c>
      <c r="J229" s="25"/>
      <c r="K229" s="427" t="s">
        <v>352</v>
      </c>
      <c r="L229" s="25">
        <v>0</v>
      </c>
      <c r="M229" s="25">
        <v>6.046137E-2</v>
      </c>
      <c r="N229" s="25">
        <v>0</v>
      </c>
      <c r="U229" s="35"/>
      <c r="V229" s="35"/>
      <c r="W229" s="35"/>
      <c r="X229" s="35"/>
      <c r="Z229" s="35"/>
      <c r="AA229" s="35"/>
      <c r="AB229" s="35"/>
      <c r="AC229" s="35"/>
      <c r="AE229" s="35"/>
      <c r="AF229" s="35"/>
      <c r="AG229" s="35"/>
    </row>
    <row r="230" spans="1:33" x14ac:dyDescent="0.25">
      <c r="A230" s="427" t="s">
        <v>170</v>
      </c>
      <c r="B230" s="25">
        <v>0</v>
      </c>
      <c r="C230" s="25">
        <v>0</v>
      </c>
      <c r="D230" s="25">
        <v>0</v>
      </c>
      <c r="E230" s="25"/>
      <c r="F230" s="427" t="s">
        <v>148</v>
      </c>
      <c r="G230" s="25">
        <v>0</v>
      </c>
      <c r="H230" s="25">
        <v>0</v>
      </c>
      <c r="I230" s="25">
        <v>0</v>
      </c>
      <c r="J230" s="25"/>
      <c r="K230" s="427" t="s">
        <v>111</v>
      </c>
      <c r="L230" s="25">
        <v>6.3699999999999998E-4</v>
      </c>
      <c r="M230" s="25">
        <v>5.83855E-2</v>
      </c>
      <c r="N230" s="25">
        <v>0</v>
      </c>
      <c r="U230" s="35"/>
      <c r="V230" s="35"/>
      <c r="W230" s="35"/>
      <c r="X230" s="35"/>
      <c r="Z230" s="35"/>
      <c r="AA230" s="35"/>
      <c r="AB230" s="35"/>
      <c r="AC230" s="35"/>
      <c r="AE230" s="35"/>
      <c r="AF230" s="35"/>
      <c r="AG230" s="35"/>
    </row>
    <row r="231" spans="1:33" x14ac:dyDescent="0.25">
      <c r="A231" s="427" t="s">
        <v>175</v>
      </c>
      <c r="B231" s="25">
        <v>0.14508599999999999</v>
      </c>
      <c r="C231" s="25">
        <v>0</v>
      </c>
      <c r="D231" s="25">
        <v>0</v>
      </c>
      <c r="E231" s="25"/>
      <c r="F231" s="427" t="s">
        <v>149</v>
      </c>
      <c r="G231" s="25">
        <v>0</v>
      </c>
      <c r="H231" s="25">
        <v>0</v>
      </c>
      <c r="I231" s="25">
        <v>0</v>
      </c>
      <c r="J231" s="25"/>
      <c r="K231" s="427" t="s">
        <v>356</v>
      </c>
      <c r="L231" s="25">
        <v>0</v>
      </c>
      <c r="M231" s="25">
        <v>0</v>
      </c>
      <c r="N231" s="25">
        <v>0</v>
      </c>
      <c r="U231" s="35"/>
      <c r="V231" s="35"/>
      <c r="W231" s="35"/>
      <c r="X231" s="35"/>
      <c r="Z231" s="35"/>
      <c r="AA231" s="35"/>
      <c r="AB231" s="35"/>
      <c r="AC231" s="35"/>
      <c r="AE231" s="35"/>
      <c r="AF231" s="35"/>
      <c r="AG231" s="35"/>
    </row>
    <row r="232" spans="1:33" x14ac:dyDescent="0.25">
      <c r="A232" s="427" t="s">
        <v>358</v>
      </c>
      <c r="B232" s="25">
        <v>0</v>
      </c>
      <c r="C232" s="25">
        <v>0</v>
      </c>
      <c r="D232" s="25">
        <v>0</v>
      </c>
      <c r="E232" s="25"/>
      <c r="F232" s="427" t="s">
        <v>152</v>
      </c>
      <c r="G232" s="25">
        <v>0</v>
      </c>
      <c r="H232" s="25">
        <v>6.1247000000000005E-4</v>
      </c>
      <c r="I232" s="25">
        <v>0</v>
      </c>
      <c r="J232" s="25"/>
      <c r="K232" s="427" t="s">
        <v>122</v>
      </c>
      <c r="L232" s="25">
        <v>0</v>
      </c>
      <c r="M232" s="25">
        <v>0</v>
      </c>
      <c r="N232" s="25">
        <v>0</v>
      </c>
      <c r="U232" s="35"/>
      <c r="V232" s="35"/>
      <c r="W232" s="35"/>
      <c r="X232" s="35"/>
      <c r="Z232" s="35"/>
      <c r="AA232" s="35"/>
      <c r="AB232" s="35"/>
      <c r="AC232" s="35"/>
      <c r="AE232" s="35"/>
      <c r="AF232" s="35"/>
      <c r="AG232" s="35"/>
    </row>
    <row r="233" spans="1:33" x14ac:dyDescent="0.25">
      <c r="A233" s="427" t="s">
        <v>179</v>
      </c>
      <c r="B233" s="25">
        <v>0</v>
      </c>
      <c r="C233" s="25">
        <v>0</v>
      </c>
      <c r="D233" s="25">
        <v>0</v>
      </c>
      <c r="E233" s="25"/>
      <c r="F233" s="427" t="s">
        <v>153</v>
      </c>
      <c r="G233" s="25">
        <v>0</v>
      </c>
      <c r="H233" s="25">
        <v>0</v>
      </c>
      <c r="I233" s="25">
        <v>0</v>
      </c>
      <c r="J233" s="25"/>
      <c r="K233" s="427" t="s">
        <v>123</v>
      </c>
      <c r="L233" s="25">
        <v>0</v>
      </c>
      <c r="M233" s="25">
        <v>2.5988209999999998E-2</v>
      </c>
      <c r="N233" s="25">
        <v>0</v>
      </c>
      <c r="U233" s="35"/>
      <c r="V233" s="35"/>
      <c r="W233" s="35"/>
      <c r="X233" s="35"/>
      <c r="Z233" s="35"/>
      <c r="AA233" s="35"/>
      <c r="AB233" s="35"/>
      <c r="AC233" s="35"/>
      <c r="AE233" s="35"/>
      <c r="AF233" s="35"/>
      <c r="AG233" s="35"/>
    </row>
    <row r="234" spans="1:33" x14ac:dyDescent="0.25">
      <c r="A234" s="427" t="s">
        <v>181</v>
      </c>
      <c r="B234" s="25">
        <v>0</v>
      </c>
      <c r="C234" s="25">
        <v>0</v>
      </c>
      <c r="D234" s="25">
        <v>0</v>
      </c>
      <c r="E234" s="25"/>
      <c r="F234" s="427" t="s">
        <v>155</v>
      </c>
      <c r="G234" s="25">
        <v>0</v>
      </c>
      <c r="H234" s="25">
        <v>0</v>
      </c>
      <c r="I234" s="25">
        <v>0</v>
      </c>
      <c r="J234" s="25"/>
      <c r="K234" s="427" t="s">
        <v>383</v>
      </c>
      <c r="L234" s="25">
        <v>0</v>
      </c>
      <c r="M234" s="25">
        <v>2.5600000000000001E-2</v>
      </c>
      <c r="N234" s="25">
        <v>0</v>
      </c>
      <c r="U234" s="35"/>
      <c r="V234" s="35"/>
      <c r="W234" s="35"/>
      <c r="X234" s="35"/>
      <c r="Z234" s="35"/>
      <c r="AA234" s="35"/>
      <c r="AB234" s="35"/>
      <c r="AC234" s="35"/>
      <c r="AE234" s="35"/>
      <c r="AF234" s="35"/>
      <c r="AG234" s="35"/>
    </row>
    <row r="235" spans="1:33" x14ac:dyDescent="0.25">
      <c r="A235" s="427" t="s">
        <v>183</v>
      </c>
      <c r="B235" s="25">
        <v>0</v>
      </c>
      <c r="C235" s="25">
        <v>0</v>
      </c>
      <c r="D235" s="25">
        <v>0</v>
      </c>
      <c r="E235" s="25"/>
      <c r="F235" s="427" t="s">
        <v>169</v>
      </c>
      <c r="G235" s="25">
        <v>0</v>
      </c>
      <c r="H235" s="25">
        <v>0</v>
      </c>
      <c r="I235" s="25">
        <v>0</v>
      </c>
      <c r="J235" s="25"/>
      <c r="K235" s="427" t="s">
        <v>128</v>
      </c>
      <c r="L235" s="25">
        <v>0</v>
      </c>
      <c r="M235" s="25">
        <v>0</v>
      </c>
      <c r="N235" s="25">
        <v>0</v>
      </c>
      <c r="U235" s="35"/>
      <c r="V235" s="35"/>
      <c r="W235" s="35"/>
      <c r="X235" s="35"/>
      <c r="Z235" s="35"/>
      <c r="AA235" s="35"/>
      <c r="AB235" s="35"/>
      <c r="AC235" s="35"/>
      <c r="AE235" s="35"/>
      <c r="AF235" s="35"/>
      <c r="AG235" s="35"/>
    </row>
    <row r="236" spans="1:33" x14ac:dyDescent="0.25">
      <c r="A236" s="427" t="s">
        <v>184</v>
      </c>
      <c r="B236" s="25">
        <v>0</v>
      </c>
      <c r="C236" s="25">
        <v>0</v>
      </c>
      <c r="D236" s="25">
        <v>0</v>
      </c>
      <c r="E236" s="25"/>
      <c r="F236" s="427" t="s">
        <v>170</v>
      </c>
      <c r="G236" s="25">
        <v>1.0000000000000001E-5</v>
      </c>
      <c r="H236" s="25">
        <v>1.7594800000000001E-3</v>
      </c>
      <c r="I236" s="25">
        <v>0</v>
      </c>
      <c r="J236" s="25"/>
      <c r="K236" s="427" t="s">
        <v>370</v>
      </c>
      <c r="L236" s="25">
        <v>0</v>
      </c>
      <c r="M236" s="25">
        <v>0</v>
      </c>
      <c r="N236" s="25">
        <v>0</v>
      </c>
      <c r="U236" s="35"/>
      <c r="V236" s="35"/>
      <c r="W236" s="35"/>
      <c r="X236" s="35"/>
      <c r="Z236" s="35"/>
      <c r="AA236" s="35"/>
      <c r="AB236" s="35"/>
      <c r="AC236" s="35"/>
      <c r="AE236" s="35"/>
      <c r="AF236" s="35"/>
      <c r="AG236" s="35"/>
    </row>
    <row r="237" spans="1:33" x14ac:dyDescent="0.25">
      <c r="A237" s="427" t="s">
        <v>186</v>
      </c>
      <c r="B237" s="25">
        <v>0</v>
      </c>
      <c r="C237" s="25">
        <v>0</v>
      </c>
      <c r="D237" s="25">
        <v>0</v>
      </c>
      <c r="E237" s="25"/>
      <c r="F237" s="427" t="s">
        <v>358</v>
      </c>
      <c r="G237" s="25">
        <v>0</v>
      </c>
      <c r="H237" s="25">
        <v>0</v>
      </c>
      <c r="I237" s="25">
        <v>0</v>
      </c>
      <c r="J237" s="25"/>
      <c r="K237" s="427" t="s">
        <v>401</v>
      </c>
      <c r="L237" s="25">
        <v>0</v>
      </c>
      <c r="M237" s="25">
        <v>0</v>
      </c>
      <c r="N237" s="25">
        <v>0</v>
      </c>
      <c r="U237" s="35"/>
      <c r="V237" s="35"/>
      <c r="W237" s="35"/>
      <c r="X237" s="35"/>
      <c r="Z237" s="35"/>
      <c r="AA237" s="35"/>
      <c r="AB237" s="35"/>
      <c r="AC237" s="35"/>
      <c r="AE237" s="35"/>
      <c r="AF237" s="35"/>
      <c r="AG237" s="35"/>
    </row>
    <row r="238" spans="1:33" x14ac:dyDescent="0.25">
      <c r="A238" s="427" t="s">
        <v>187</v>
      </c>
      <c r="B238" s="25">
        <v>0</v>
      </c>
      <c r="C238" s="25">
        <v>0</v>
      </c>
      <c r="D238" s="25">
        <v>0</v>
      </c>
      <c r="E238" s="25"/>
      <c r="F238" s="427" t="s">
        <v>179</v>
      </c>
      <c r="G238" s="25">
        <v>0</v>
      </c>
      <c r="H238" s="25">
        <v>0</v>
      </c>
      <c r="I238" s="25">
        <v>0</v>
      </c>
      <c r="J238" s="25"/>
      <c r="K238" s="427" t="s">
        <v>377</v>
      </c>
      <c r="L238" s="25">
        <v>1.4489879999999998E-2</v>
      </c>
      <c r="M238" s="25">
        <v>0</v>
      </c>
      <c r="N238" s="25">
        <v>0</v>
      </c>
      <c r="U238" s="35"/>
      <c r="V238" s="35"/>
      <c r="W238" s="35"/>
      <c r="X238" s="35"/>
      <c r="Z238" s="35"/>
      <c r="AA238" s="35"/>
      <c r="AB238" s="35"/>
      <c r="AC238" s="35"/>
      <c r="AE238" s="35"/>
      <c r="AF238" s="35"/>
      <c r="AG238" s="35"/>
    </row>
    <row r="239" spans="1:33" x14ac:dyDescent="0.25">
      <c r="A239" s="427" t="s">
        <v>194</v>
      </c>
      <c r="B239" s="25">
        <v>0.12961741000000002</v>
      </c>
      <c r="C239" s="25">
        <v>0</v>
      </c>
      <c r="D239" s="25">
        <v>0</v>
      </c>
      <c r="E239" s="25"/>
      <c r="F239" s="427" t="s">
        <v>181</v>
      </c>
      <c r="G239" s="25">
        <v>0</v>
      </c>
      <c r="H239" s="25">
        <v>0</v>
      </c>
      <c r="I239" s="25">
        <v>0</v>
      </c>
      <c r="J239" s="25"/>
      <c r="K239" s="427" t="s">
        <v>139</v>
      </c>
      <c r="L239" s="25">
        <v>7.4700000000000005E-4</v>
      </c>
      <c r="M239" s="25">
        <v>1.4211E-2</v>
      </c>
      <c r="N239" s="25">
        <v>0</v>
      </c>
      <c r="U239" s="35"/>
      <c r="V239" s="35"/>
      <c r="W239" s="35"/>
      <c r="X239" s="35"/>
      <c r="Z239" s="35"/>
      <c r="AA239" s="35"/>
      <c r="AB239" s="35"/>
      <c r="AC239" s="35"/>
      <c r="AE239" s="35"/>
      <c r="AF239" s="35"/>
      <c r="AG239" s="35"/>
    </row>
    <row r="240" spans="1:33" x14ac:dyDescent="0.25">
      <c r="A240" s="427" t="s">
        <v>199</v>
      </c>
      <c r="B240" s="25">
        <v>0</v>
      </c>
      <c r="C240" s="25">
        <v>0</v>
      </c>
      <c r="D240" s="25">
        <v>0</v>
      </c>
      <c r="E240" s="25"/>
      <c r="F240" s="427" t="s">
        <v>182</v>
      </c>
      <c r="G240" s="25">
        <v>0</v>
      </c>
      <c r="H240" s="25">
        <v>0</v>
      </c>
      <c r="I240" s="25">
        <v>0</v>
      </c>
      <c r="J240" s="25"/>
      <c r="K240" s="427" t="s">
        <v>148</v>
      </c>
      <c r="L240" s="25">
        <v>7.2717839999999992E-2</v>
      </c>
      <c r="M240" s="25">
        <v>1.3441389999999999E-2</v>
      </c>
      <c r="N240" s="25">
        <v>0</v>
      </c>
      <c r="U240" s="35"/>
      <c r="V240" s="35"/>
      <c r="W240" s="35"/>
      <c r="X240" s="35"/>
      <c r="Z240" s="35"/>
      <c r="AA240" s="35"/>
      <c r="AB240" s="35"/>
      <c r="AC240" s="35"/>
      <c r="AE240" s="35"/>
      <c r="AF240" s="35"/>
      <c r="AG240" s="35"/>
    </row>
    <row r="241" spans="1:33" x14ac:dyDescent="0.25">
      <c r="A241" s="427" t="s">
        <v>201</v>
      </c>
      <c r="B241" s="25">
        <v>0</v>
      </c>
      <c r="C241" s="25">
        <v>0</v>
      </c>
      <c r="D241" s="25">
        <v>0</v>
      </c>
      <c r="E241" s="25"/>
      <c r="F241" s="427" t="s">
        <v>183</v>
      </c>
      <c r="G241" s="25">
        <v>0</v>
      </c>
      <c r="H241" s="25">
        <v>0</v>
      </c>
      <c r="I241" s="25">
        <v>0</v>
      </c>
      <c r="J241" s="25"/>
      <c r="K241" s="427" t="s">
        <v>152</v>
      </c>
      <c r="L241" s="25">
        <v>6.8620000000000009E-4</v>
      </c>
      <c r="M241" s="25">
        <v>0.43315599999999999</v>
      </c>
      <c r="N241" s="25">
        <v>0</v>
      </c>
      <c r="U241" s="35"/>
      <c r="V241" s="35"/>
      <c r="W241" s="35"/>
      <c r="X241" s="35"/>
      <c r="Z241" s="35"/>
      <c r="AA241" s="35"/>
      <c r="AB241" s="35"/>
      <c r="AC241" s="35"/>
      <c r="AE241" s="35"/>
      <c r="AF241" s="35"/>
      <c r="AG241" s="35"/>
    </row>
    <row r="242" spans="1:33" x14ac:dyDescent="0.25">
      <c r="A242" s="427" t="s">
        <v>359</v>
      </c>
      <c r="B242" s="25">
        <v>0</v>
      </c>
      <c r="C242" s="25">
        <v>0</v>
      </c>
      <c r="D242" s="25">
        <v>0</v>
      </c>
      <c r="E242" s="25"/>
      <c r="F242" s="427" t="s">
        <v>186</v>
      </c>
      <c r="G242" s="25">
        <v>0</v>
      </c>
      <c r="H242" s="25">
        <v>0</v>
      </c>
      <c r="I242" s="25">
        <v>0</v>
      </c>
      <c r="J242" s="25"/>
      <c r="K242" s="427" t="s">
        <v>175</v>
      </c>
      <c r="L242" s="25">
        <v>3.5170940000000005E-2</v>
      </c>
      <c r="M242" s="25">
        <v>0</v>
      </c>
      <c r="N242" s="25">
        <v>0</v>
      </c>
      <c r="U242" s="35"/>
      <c r="V242" s="35"/>
      <c r="W242" s="35"/>
      <c r="X242" s="35"/>
      <c r="Z242" s="35"/>
      <c r="AA242" s="35"/>
      <c r="AB242" s="35"/>
      <c r="AC242" s="35"/>
      <c r="AE242" s="35"/>
      <c r="AF242" s="35"/>
      <c r="AG242" s="35"/>
    </row>
    <row r="243" spans="1:33" x14ac:dyDescent="0.25">
      <c r="A243" s="427" t="s">
        <v>979</v>
      </c>
      <c r="B243" s="25">
        <v>0</v>
      </c>
      <c r="C243" s="25">
        <v>0</v>
      </c>
      <c r="D243" s="25">
        <v>0</v>
      </c>
      <c r="E243" s="25"/>
      <c r="F243" s="427" t="s">
        <v>187</v>
      </c>
      <c r="G243" s="25">
        <v>0</v>
      </c>
      <c r="H243" s="25">
        <v>7.9622999999999999E-2</v>
      </c>
      <c r="I243" s="25">
        <v>0</v>
      </c>
      <c r="J243" s="25"/>
      <c r="K243" s="427" t="s">
        <v>183</v>
      </c>
      <c r="L243" s="25">
        <v>0.12855799000000001</v>
      </c>
      <c r="M243" s="25">
        <v>3.0000000000000001E-3</v>
      </c>
      <c r="N243" s="25">
        <v>0</v>
      </c>
      <c r="U243" s="35"/>
      <c r="V243" s="35"/>
      <c r="W243" s="35"/>
      <c r="X243" s="35"/>
      <c r="Z243" s="35"/>
      <c r="AA243" s="35"/>
      <c r="AB243" s="35"/>
      <c r="AC243" s="35"/>
      <c r="AE243" s="35"/>
      <c r="AF243" s="35"/>
      <c r="AG243" s="35"/>
    </row>
    <row r="244" spans="1:33" x14ac:dyDescent="0.25">
      <c r="A244" s="427" t="s">
        <v>205</v>
      </c>
      <c r="B244" s="25">
        <v>0</v>
      </c>
      <c r="C244" s="25">
        <v>0</v>
      </c>
      <c r="D244" s="25">
        <v>0</v>
      </c>
      <c r="E244" s="25"/>
      <c r="F244" s="427" t="s">
        <v>188</v>
      </c>
      <c r="G244" s="25">
        <v>6.0000000000000002E-5</v>
      </c>
      <c r="H244" s="25">
        <v>3.1129999999999999E-3</v>
      </c>
      <c r="I244" s="25">
        <v>0</v>
      </c>
      <c r="J244" s="25"/>
      <c r="K244" s="427" t="s">
        <v>186</v>
      </c>
      <c r="L244" s="25">
        <v>0.1010805</v>
      </c>
      <c r="M244" s="25">
        <v>0.15556976</v>
      </c>
      <c r="N244" s="25">
        <v>0</v>
      </c>
      <c r="U244" s="35"/>
      <c r="V244" s="35"/>
      <c r="W244" s="35"/>
      <c r="X244" s="35"/>
      <c r="Z244" s="35"/>
      <c r="AA244" s="35"/>
      <c r="AB244" s="35"/>
      <c r="AC244" s="35"/>
      <c r="AE244" s="35"/>
      <c r="AF244" s="35"/>
      <c r="AG244" s="35"/>
    </row>
    <row r="245" spans="1:33" x14ac:dyDescent="0.25">
      <c r="A245" s="427" t="s">
        <v>206</v>
      </c>
      <c r="B245" s="25">
        <v>0</v>
      </c>
      <c r="C245" s="25">
        <v>0</v>
      </c>
      <c r="D245" s="25">
        <v>0</v>
      </c>
      <c r="E245" s="25"/>
      <c r="F245" s="427" t="s">
        <v>201</v>
      </c>
      <c r="G245" s="25">
        <v>0</v>
      </c>
      <c r="H245" s="25">
        <v>0</v>
      </c>
      <c r="I245" s="25">
        <v>0</v>
      </c>
      <c r="J245" s="25"/>
      <c r="K245" s="427" t="s">
        <v>359</v>
      </c>
      <c r="L245" s="25">
        <v>5.8997399999999997E-3</v>
      </c>
      <c r="M245" s="25">
        <v>2.689E-3</v>
      </c>
      <c r="N245" s="25">
        <v>0</v>
      </c>
      <c r="U245" s="35"/>
      <c r="V245" s="35"/>
      <c r="W245" s="35"/>
      <c r="X245" s="35"/>
      <c r="Z245" s="35"/>
      <c r="AA245" s="35"/>
      <c r="AB245" s="35"/>
      <c r="AC245" s="35"/>
      <c r="AE245" s="35"/>
      <c r="AF245" s="35"/>
      <c r="AG245" s="35"/>
    </row>
    <row r="246" spans="1:33" x14ac:dyDescent="0.25">
      <c r="A246" s="427" t="s">
        <v>211</v>
      </c>
      <c r="B246" s="25">
        <v>1.1208020000000001</v>
      </c>
      <c r="C246" s="25">
        <v>5.67E-2</v>
      </c>
      <c r="D246" s="25">
        <v>0</v>
      </c>
      <c r="E246" s="25"/>
      <c r="F246" s="427" t="s">
        <v>203</v>
      </c>
      <c r="G246" s="25">
        <v>0</v>
      </c>
      <c r="H246" s="25">
        <v>0</v>
      </c>
      <c r="I246" s="25">
        <v>0</v>
      </c>
      <c r="J246" s="25"/>
      <c r="K246" s="427" t="s">
        <v>203</v>
      </c>
      <c r="L246" s="25">
        <v>0</v>
      </c>
      <c r="M246" s="25">
        <v>0</v>
      </c>
      <c r="N246" s="25">
        <v>0</v>
      </c>
      <c r="U246" s="35"/>
      <c r="V246" s="35"/>
      <c r="W246" s="35"/>
      <c r="X246" s="35"/>
      <c r="Z246" s="35"/>
      <c r="AA246" s="35"/>
      <c r="AB246" s="35"/>
      <c r="AC246" s="35"/>
      <c r="AE246" s="35"/>
      <c r="AF246" s="35"/>
      <c r="AG246" s="35"/>
    </row>
    <row r="247" spans="1:33" x14ac:dyDescent="0.25">
      <c r="A247" s="427" t="s">
        <v>212</v>
      </c>
      <c r="B247" s="25">
        <v>0</v>
      </c>
      <c r="C247" s="25">
        <v>0</v>
      </c>
      <c r="D247" s="25">
        <v>0</v>
      </c>
      <c r="E247" s="25"/>
      <c r="F247" s="427" t="s">
        <v>979</v>
      </c>
      <c r="G247" s="25">
        <v>1.6000000000000001E-4</v>
      </c>
      <c r="H247" s="25">
        <v>0</v>
      </c>
      <c r="I247" s="25">
        <v>0</v>
      </c>
      <c r="J247" s="25"/>
      <c r="K247" s="427" t="s">
        <v>979</v>
      </c>
      <c r="L247" s="25">
        <v>0</v>
      </c>
      <c r="M247" s="25">
        <v>0</v>
      </c>
      <c r="N247" s="25">
        <v>0</v>
      </c>
    </row>
    <row r="248" spans="1:33" x14ac:dyDescent="0.25">
      <c r="A248" s="427" t="s">
        <v>213</v>
      </c>
      <c r="B248" s="25">
        <v>0</v>
      </c>
      <c r="C248" s="25">
        <v>5.9033200000000001E-3</v>
      </c>
      <c r="D248" s="25">
        <v>0</v>
      </c>
      <c r="E248" s="25"/>
      <c r="F248" s="427" t="s">
        <v>206</v>
      </c>
      <c r="G248" s="25">
        <v>0</v>
      </c>
      <c r="H248" s="25">
        <v>0</v>
      </c>
      <c r="I248" s="25">
        <v>0</v>
      </c>
      <c r="J248" s="25"/>
      <c r="K248" s="427" t="s">
        <v>374</v>
      </c>
      <c r="L248" s="25">
        <v>0</v>
      </c>
      <c r="M248" s="25">
        <v>0</v>
      </c>
      <c r="N248" s="25">
        <v>0</v>
      </c>
    </row>
    <row r="249" spans="1:33" x14ac:dyDescent="0.25">
      <c r="A249" s="428" t="s">
        <v>216</v>
      </c>
      <c r="B249" s="380">
        <v>0</v>
      </c>
      <c r="C249" s="380">
        <v>0</v>
      </c>
      <c r="D249" s="380">
        <v>0</v>
      </c>
      <c r="E249" s="380"/>
      <c r="F249" s="428" t="s">
        <v>374</v>
      </c>
      <c r="G249" s="380">
        <v>0</v>
      </c>
      <c r="H249" s="380">
        <v>0</v>
      </c>
      <c r="I249" s="380">
        <v>0</v>
      </c>
      <c r="J249" s="380"/>
      <c r="K249" s="428" t="s">
        <v>216</v>
      </c>
      <c r="L249" s="380">
        <v>0</v>
      </c>
      <c r="M249" s="380">
        <v>0</v>
      </c>
      <c r="N249" s="380">
        <v>0</v>
      </c>
    </row>
    <row r="250" spans="1:33" x14ac:dyDescent="0.25">
      <c r="A250" s="37" t="s">
        <v>217</v>
      </c>
      <c r="B250" s="25">
        <f>SUM(Table2458355[Column2])</f>
        <v>5471.2592068099939</v>
      </c>
      <c r="C250" s="25">
        <f>SUM(Table2458355[Column3])</f>
        <v>7394.9970383800046</v>
      </c>
      <c r="D250" s="25">
        <f>SUM(Table2458355[Column4])</f>
        <v>3866.4300403799998</v>
      </c>
      <c r="E250" s="21"/>
      <c r="F250" s="21"/>
      <c r="G250" s="25">
        <f>SUBTOTAL(109,Table2458355[Column7])</f>
        <v>3521.4557690100037</v>
      </c>
      <c r="H250" s="25">
        <f>SUBTOTAL(109,Table2458355[Column8])</f>
        <v>3305.64426512</v>
      </c>
      <c r="I250" s="25">
        <f>SUBTOTAL(109,Table2458355[Column9])</f>
        <v>3453.3906614399998</v>
      </c>
      <c r="J250" s="21"/>
      <c r="K250" s="21"/>
      <c r="L250" s="25">
        <f>SUBTOTAL(109,Table2458355[Column12])</f>
        <v>2853.5219528300026</v>
      </c>
      <c r="M250" s="25">
        <f>SUBTOTAL(109,Table2458355[Column13])</f>
        <v>2494.5552915600033</v>
      </c>
      <c r="N250" s="25">
        <f>SUBTOTAL(109,Table2458355[Column14])</f>
        <v>2648.4240152500015</v>
      </c>
    </row>
    <row r="251" spans="1:33" x14ac:dyDescent="0.25">
      <c r="D251" s="35"/>
    </row>
    <row r="253" spans="1:33" ht="13" x14ac:dyDescent="0.3">
      <c r="P253" s="11"/>
      <c r="Q253" s="11"/>
    </row>
    <row r="254" spans="1:33" s="11" customFormat="1" ht="13" x14ac:dyDescent="0.3">
      <c r="F254" s="20"/>
      <c r="G254" s="20"/>
      <c r="H254" s="20"/>
      <c r="I254" s="20"/>
      <c r="P254" s="20"/>
      <c r="Q254" s="20"/>
      <c r="T254" s="440"/>
      <c r="Y254" s="440"/>
      <c r="AD254" s="440"/>
    </row>
    <row r="255" spans="1:33" ht="13" x14ac:dyDescent="0.3">
      <c r="F255" s="11"/>
      <c r="G255" s="11"/>
      <c r="H255" s="11"/>
      <c r="I255" s="11"/>
      <c r="P255" s="11"/>
      <c r="Q255" s="11"/>
    </row>
    <row r="256" spans="1:33" s="11" customFormat="1" ht="13" x14ac:dyDescent="0.3">
      <c r="F256" s="20"/>
      <c r="G256" s="20"/>
      <c r="H256" s="20"/>
      <c r="I256" s="20"/>
      <c r="P256" s="20"/>
      <c r="Q256" s="20"/>
      <c r="T256" s="440"/>
      <c r="Y256" s="440"/>
      <c r="AD256" s="440"/>
    </row>
    <row r="257" spans="6:9" ht="13" x14ac:dyDescent="0.3">
      <c r="F257" s="11"/>
      <c r="G257" s="11"/>
      <c r="H257" s="11"/>
      <c r="I257" s="11"/>
    </row>
  </sheetData>
  <mergeCells count="8">
    <mergeCell ref="C3:D3"/>
    <mergeCell ref="H3:I3"/>
    <mergeCell ref="M3:N3"/>
    <mergeCell ref="P1:Q1"/>
    <mergeCell ref="A1:G1"/>
    <mergeCell ref="A2:D2"/>
    <mergeCell ref="F2:I2"/>
    <mergeCell ref="K2:N2"/>
  </mergeCells>
  <hyperlinks>
    <hyperlink ref="P1:Q1" location="'Table of Content'!A1" display="Table of Content" xr:uid="{B7064AAD-762D-433C-93B9-C76994ECBA72}"/>
  </hyperlinks>
  <pageMargins left="0.7" right="0.7" top="0.75" bottom="0.75" header="0.3" footer="0.3"/>
  <pageSetup scale="41"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E630-0D3B-4905-9B83-D5B10C099D00}">
  <dimension ref="A1:I17"/>
  <sheetViews>
    <sheetView zoomScaleNormal="100" workbookViewId="0">
      <selection activeCell="I21" sqref="I21"/>
    </sheetView>
  </sheetViews>
  <sheetFormatPr defaultColWidth="9.1796875" defaultRowHeight="12.5" x14ac:dyDescent="0.25"/>
  <cols>
    <col min="1" max="1" width="18.36328125" style="1" customWidth="1"/>
    <col min="2" max="2" width="11.1796875" style="1" bestFit="1" customWidth="1"/>
    <col min="3" max="3" width="11.1796875" style="4" bestFit="1" customWidth="1"/>
    <col min="4" max="4" width="11.1796875" style="1" bestFit="1" customWidth="1"/>
    <col min="5" max="5" width="13.54296875" style="1" bestFit="1" customWidth="1"/>
    <col min="6" max="6" width="11.81640625" style="1" bestFit="1" customWidth="1"/>
    <col min="7" max="7" width="9.1796875" style="1"/>
    <col min="8" max="8" width="11.1796875" style="1" bestFit="1" customWidth="1"/>
    <col min="9" max="16384" width="9.1796875" style="1"/>
  </cols>
  <sheetData>
    <row r="1" spans="1:9" ht="13" x14ac:dyDescent="0.3">
      <c r="A1" s="3" t="s">
        <v>399</v>
      </c>
      <c r="B1" s="108"/>
      <c r="C1" s="70"/>
      <c r="D1" s="3"/>
      <c r="H1" s="577" t="s">
        <v>239</v>
      </c>
      <c r="I1" s="577"/>
    </row>
    <row r="2" spans="1:9" ht="13" x14ac:dyDescent="0.3">
      <c r="A2" s="107" t="s">
        <v>394</v>
      </c>
      <c r="B2" s="106">
        <v>45597</v>
      </c>
      <c r="C2" s="106">
        <v>45931</v>
      </c>
      <c r="D2" s="106">
        <v>45962</v>
      </c>
      <c r="E2" s="106" t="s">
        <v>452</v>
      </c>
      <c r="F2" s="106" t="s">
        <v>453</v>
      </c>
    </row>
    <row r="3" spans="1:9" x14ac:dyDescent="0.25">
      <c r="A3" s="67" t="s">
        <v>391</v>
      </c>
      <c r="B3" s="139">
        <v>193132.39834000097</v>
      </c>
      <c r="C3" s="139">
        <v>178416.91233000101</v>
      </c>
      <c r="D3" s="139">
        <v>182003.17012070201</v>
      </c>
      <c r="E3" s="76">
        <f>((Table421116[[#This Row],[Column4]]/Table421116[[#This Row],[Column3]])-1)*100</f>
        <v>2.0100436353633455</v>
      </c>
      <c r="F3" s="345">
        <f>((Table421116[[#This Row],[Column4]]/Table421116[[#This Row],[Column2]])-1)*100</f>
        <v>-5.7624864160317868</v>
      </c>
      <c r="H3" s="2"/>
      <c r="I3" s="2"/>
    </row>
    <row r="4" spans="1:9" x14ac:dyDescent="0.25">
      <c r="A4" s="30" t="s">
        <v>392</v>
      </c>
      <c r="B4" s="65">
        <v>141770.80256000001</v>
      </c>
      <c r="C4" s="65">
        <v>207562.79097999999</v>
      </c>
      <c r="D4" s="65">
        <v>93808.15722000011</v>
      </c>
      <c r="E4" s="76">
        <f>((Table421116[[#This Row],[Column4]]/Table421116[[#This Row],[Column3]])-1)*100</f>
        <v>-54.804925884312695</v>
      </c>
      <c r="F4" s="345">
        <f>((Table421116[[#This Row],[Column4]]/Table421116[[#This Row],[Column2]])-1)*100</f>
        <v>-33.831116473860149</v>
      </c>
    </row>
    <row r="5" spans="1:9" x14ac:dyDescent="0.25">
      <c r="A5" s="30" t="s">
        <v>390</v>
      </c>
      <c r="B5" s="65">
        <v>97.451610000000301</v>
      </c>
      <c r="C5" s="65">
        <v>94.266190000000208</v>
      </c>
      <c r="D5" s="65">
        <v>138.41767000000002</v>
      </c>
      <c r="E5" s="76">
        <f>((Table421116[[#This Row],[Column4]]/Table421116[[#This Row],[Column3]])-1)*100</f>
        <v>46.837026085386199</v>
      </c>
      <c r="F5" s="345">
        <f>((Table421116[[#This Row],[Column4]]/Table421116[[#This Row],[Column2]])-1)*100</f>
        <v>42.037335247718929</v>
      </c>
    </row>
    <row r="6" spans="1:9" x14ac:dyDescent="0.25">
      <c r="A6" s="30" t="s">
        <v>389</v>
      </c>
      <c r="B6" s="65">
        <v>0</v>
      </c>
      <c r="C6" s="65">
        <v>105.9</v>
      </c>
      <c r="D6" s="65">
        <v>70.807000000000002</v>
      </c>
      <c r="E6" s="76">
        <f>((Table421116[[#This Row],[Column4]]/Table421116[[#This Row],[Column3]])-1)*100</f>
        <v>-33.137865911237022</v>
      </c>
      <c r="F6" s="345" t="s">
        <v>240</v>
      </c>
    </row>
    <row r="7" spans="1:9" x14ac:dyDescent="0.25">
      <c r="A7" s="68" t="s">
        <v>449</v>
      </c>
      <c r="B7" s="52">
        <v>0</v>
      </c>
      <c r="C7" s="52">
        <v>35.090499999999999</v>
      </c>
      <c r="D7" s="52">
        <v>0</v>
      </c>
      <c r="E7" s="76">
        <f>((Table421116[[#This Row],[Column4]]/Table421116[[#This Row],[Column3]])-1)*100</f>
        <v>-100</v>
      </c>
      <c r="F7" s="345" t="s">
        <v>240</v>
      </c>
    </row>
    <row r="8" spans="1:9" ht="13" x14ac:dyDescent="0.3">
      <c r="A8" s="105" t="s">
        <v>312</v>
      </c>
      <c r="B8" s="104">
        <f>SUM(B3:B7)</f>
        <v>335000.65251000097</v>
      </c>
      <c r="C8" s="103">
        <f>SUM(C3:C7)</f>
        <v>386214.96000000101</v>
      </c>
      <c r="D8" s="104">
        <f>SUM(D3:D7)</f>
        <v>276020.55201070209</v>
      </c>
      <c r="E8" s="519">
        <f>((Table421116[[#Totals],[Column4]]/Table421116[[#Totals],[Column3]])-1)*100</f>
        <v>-28.531884935088648</v>
      </c>
      <c r="F8" s="519">
        <f>((Table421116[[#Totals],[Column4]]/Table421116[[#Totals],[Column2]])-1)*100</f>
        <v>-17.605965856301765</v>
      </c>
      <c r="H8" s="4"/>
    </row>
    <row r="9" spans="1:9" x14ac:dyDescent="0.25">
      <c r="D9" s="2"/>
      <c r="H9" s="4"/>
    </row>
    <row r="10" spans="1:9" x14ac:dyDescent="0.25">
      <c r="D10" s="102"/>
      <c r="H10" s="4"/>
    </row>
    <row r="11" spans="1:9" x14ac:dyDescent="0.25">
      <c r="D11" s="2"/>
      <c r="E11" s="2"/>
      <c r="H11" s="4"/>
    </row>
    <row r="12" spans="1:9" x14ac:dyDescent="0.25">
      <c r="H12" s="4"/>
    </row>
    <row r="13" spans="1:9" x14ac:dyDescent="0.25">
      <c r="F13" s="13"/>
      <c r="G13" s="13"/>
      <c r="H13" s="13"/>
    </row>
    <row r="14" spans="1:9" x14ac:dyDescent="0.25">
      <c r="F14" s="13"/>
      <c r="G14" s="13"/>
      <c r="H14" s="13"/>
    </row>
    <row r="15" spans="1:9" x14ac:dyDescent="0.25">
      <c r="F15" s="13"/>
      <c r="G15" s="13"/>
      <c r="H15" s="13"/>
    </row>
    <row r="16" spans="1:9" x14ac:dyDescent="0.25">
      <c r="F16" s="13"/>
      <c r="G16" s="13"/>
      <c r="H16" s="13"/>
    </row>
    <row r="17" spans="5:8" x14ac:dyDescent="0.25">
      <c r="E17" s="2"/>
      <c r="F17" s="13"/>
      <c r="G17" s="13"/>
      <c r="H17" s="13"/>
    </row>
  </sheetData>
  <mergeCells count="1">
    <mergeCell ref="H1:I1"/>
  </mergeCells>
  <hyperlinks>
    <hyperlink ref="H1" location="'Table of Content'!A1" display="Table of Content" xr:uid="{3F666FC4-6847-4E02-B7A9-E0586B0E46A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E84C-BA68-4877-964F-89E4255E4F57}">
  <dimension ref="A1:N30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8.7265625" style="431" customWidth="1"/>
    <col min="2" max="2" width="11.453125" style="431" bestFit="1" customWidth="1"/>
    <col min="3" max="3" width="9.1796875" style="431" bestFit="1" customWidth="1"/>
    <col min="4" max="4" width="11.453125" style="431" bestFit="1" customWidth="1"/>
    <col min="5" max="5" width="7.453125" style="431" bestFit="1" customWidth="1"/>
    <col min="6" max="6" width="12.453125" style="431" customWidth="1"/>
    <col min="7" max="7" width="9.54296875" style="431" customWidth="1"/>
    <col min="8" max="8" width="8.1796875" style="431" customWidth="1"/>
    <col min="9" max="9" width="9.453125" style="431" customWidth="1"/>
    <col min="10" max="10" width="9.1796875" style="431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4" ht="13" x14ac:dyDescent="0.3">
      <c r="A1" s="11" t="s">
        <v>400</v>
      </c>
      <c r="K1" s="577" t="s">
        <v>239</v>
      </c>
      <c r="L1" s="577"/>
    </row>
    <row r="2" spans="1:14" ht="13" x14ac:dyDescent="0.3">
      <c r="A2" s="557" t="s">
        <v>394</v>
      </c>
      <c r="B2" s="560">
        <v>45597</v>
      </c>
      <c r="C2" s="560"/>
      <c r="D2" s="560">
        <v>45934</v>
      </c>
      <c r="E2" s="560"/>
      <c r="F2" s="560">
        <v>45962</v>
      </c>
      <c r="G2" s="560"/>
      <c r="H2" s="579" t="s">
        <v>241</v>
      </c>
      <c r="I2" s="579" t="s">
        <v>393</v>
      </c>
    </row>
    <row r="3" spans="1:14" ht="13" x14ac:dyDescent="0.3">
      <c r="A3" s="558"/>
      <c r="B3" s="6" t="s">
        <v>296</v>
      </c>
      <c r="C3" s="112" t="s">
        <v>234</v>
      </c>
      <c r="D3" s="6" t="s">
        <v>296</v>
      </c>
      <c r="E3" s="112" t="s">
        <v>234</v>
      </c>
      <c r="F3" s="6" t="s">
        <v>296</v>
      </c>
      <c r="G3" s="112" t="s">
        <v>234</v>
      </c>
      <c r="H3" s="580"/>
      <c r="I3" s="580"/>
    </row>
    <row r="4" spans="1:14" x14ac:dyDescent="0.25">
      <c r="A4" s="444" t="s">
        <v>391</v>
      </c>
      <c r="B4" s="4">
        <v>8735.5657671960507</v>
      </c>
      <c r="C4" s="111">
        <f t="shared" ref="C4:C10" si="0">(B4/$B$10)*100</f>
        <v>50.470956164563077</v>
      </c>
      <c r="D4" s="4">
        <v>9117.3506467199495</v>
      </c>
      <c r="E4" s="111">
        <f t="shared" ref="E4:E10" si="1">(D4/$D$10)*100</f>
        <v>56.705283545588458</v>
      </c>
      <c r="F4" s="4">
        <v>9050.172140059909</v>
      </c>
      <c r="G4" s="111">
        <f t="shared" ref="G4:G9" si="2">(F4/$F$10)*100</f>
        <v>62.7950061416471</v>
      </c>
      <c r="H4" s="111">
        <f>((F4/D4)-1)*100</f>
        <v>-0.73682047848196985</v>
      </c>
      <c r="I4" s="111">
        <f>((F4/B4)-1)*100</f>
        <v>3.6014424394270383</v>
      </c>
    </row>
    <row r="5" spans="1:14" x14ac:dyDescent="0.25">
      <c r="A5" s="443" t="s">
        <v>392</v>
      </c>
      <c r="B5" s="4">
        <v>5222.6349765499799</v>
      </c>
      <c r="C5" s="110">
        <f t="shared" si="0"/>
        <v>30.174505920934262</v>
      </c>
      <c r="D5" s="4">
        <v>5667.2197933900097</v>
      </c>
      <c r="E5" s="110">
        <f t="shared" si="1"/>
        <v>35.247224522944549</v>
      </c>
      <c r="F5" s="4">
        <v>4809.4233399899995</v>
      </c>
      <c r="G5" s="110">
        <f t="shared" si="2"/>
        <v>33.370389369240634</v>
      </c>
      <c r="H5" s="110">
        <f>((F5/D5)-1)*100</f>
        <v>-15.13610702730297</v>
      </c>
      <c r="I5" s="110">
        <f>((F5/B5)-1)*100</f>
        <v>-7.911937909031197</v>
      </c>
    </row>
    <row r="6" spans="1:14" x14ac:dyDescent="0.25">
      <c r="A6" s="443" t="s">
        <v>390</v>
      </c>
      <c r="B6" s="4">
        <v>3348.8044424300097</v>
      </c>
      <c r="C6" s="110">
        <f t="shared" si="0"/>
        <v>19.348187252195618</v>
      </c>
      <c r="D6" s="4">
        <v>1281.6433529999999</v>
      </c>
      <c r="E6" s="110">
        <f t="shared" si="1"/>
        <v>7.9711697566803092</v>
      </c>
      <c r="F6" s="4">
        <v>548.32168811999793</v>
      </c>
      <c r="G6" s="110">
        <f t="shared" si="2"/>
        <v>3.8045534648654371</v>
      </c>
      <c r="H6" s="110">
        <f>((F6/D6)-1)*100</f>
        <v>-57.21729552636333</v>
      </c>
      <c r="I6" s="110">
        <f>((F6/B6)-1)*100</f>
        <v>-83.626344937534896</v>
      </c>
    </row>
    <row r="7" spans="1:14" x14ac:dyDescent="0.25">
      <c r="A7" s="30" t="s">
        <v>449</v>
      </c>
      <c r="B7" s="4">
        <v>0.60777268999999989</v>
      </c>
      <c r="C7" s="110">
        <f t="shared" si="0"/>
        <v>3.511491941391979E-3</v>
      </c>
      <c r="D7" s="4">
        <v>4.1108588099999999</v>
      </c>
      <c r="E7" s="110">
        <f t="shared" si="1"/>
        <v>2.5567450838450849E-2</v>
      </c>
      <c r="F7" s="4">
        <v>4.1884230999999899</v>
      </c>
      <c r="G7" s="110">
        <f t="shared" si="2"/>
        <v>2.9061552666397674E-2</v>
      </c>
      <c r="H7" s="110" t="s">
        <v>240</v>
      </c>
      <c r="I7" s="110" t="s">
        <v>240</v>
      </c>
    </row>
    <row r="8" spans="1:14" x14ac:dyDescent="0.25">
      <c r="A8" s="443" t="s">
        <v>389</v>
      </c>
      <c r="B8" s="4">
        <v>0</v>
      </c>
      <c r="C8" s="110">
        <f t="shared" si="0"/>
        <v>0</v>
      </c>
      <c r="D8" s="4">
        <v>8.1605907999999996</v>
      </c>
      <c r="E8" s="110">
        <f t="shared" si="1"/>
        <v>5.0754723948233646E-2</v>
      </c>
      <c r="F8" s="4">
        <v>0.1379601</v>
      </c>
      <c r="G8" s="110">
        <f t="shared" si="2"/>
        <v>9.5724204940315102E-4</v>
      </c>
      <c r="H8" s="110" t="s">
        <v>240</v>
      </c>
      <c r="I8" s="110" t="s">
        <v>240</v>
      </c>
    </row>
    <row r="9" spans="1:14" x14ac:dyDescent="0.25">
      <c r="A9" s="443" t="s">
        <v>980</v>
      </c>
      <c r="B9" s="4">
        <v>0.49140656999999999</v>
      </c>
      <c r="C9" s="110">
        <f t="shared" si="0"/>
        <v>2.8391703656544254E-3</v>
      </c>
      <c r="D9" s="4">
        <v>0</v>
      </c>
      <c r="E9" s="110">
        <f t="shared" si="1"/>
        <v>0</v>
      </c>
      <c r="F9" s="4">
        <v>4.6449999999999998E-3</v>
      </c>
      <c r="G9" s="110">
        <f t="shared" si="2"/>
        <v>3.2229530998293247E-5</v>
      </c>
      <c r="H9" s="110" t="s">
        <v>240</v>
      </c>
      <c r="I9" s="110" t="s">
        <v>240</v>
      </c>
    </row>
    <row r="10" spans="1:14" s="3" customFormat="1" ht="13" x14ac:dyDescent="0.3">
      <c r="A10" s="370" t="s">
        <v>217</v>
      </c>
      <c r="B10" s="520">
        <f>SUM(B4:B9)</f>
        <v>17308.10436543604</v>
      </c>
      <c r="C10" s="91">
        <f t="shared" si="0"/>
        <v>100</v>
      </c>
      <c r="D10" s="44">
        <f>SUM(D4:D9)</f>
        <v>16078.485242719958</v>
      </c>
      <c r="E10" s="91">
        <f t="shared" si="1"/>
        <v>100</v>
      </c>
      <c r="F10" s="44">
        <f>SUM(F4:F9)</f>
        <v>14412.24819636991</v>
      </c>
      <c r="G10" s="92">
        <f>SUM(G4:G8)</f>
        <v>99.99996777046897</v>
      </c>
      <c r="H10" s="91">
        <f>((F10/D10)-1)*100</f>
        <v>-10.363146908409737</v>
      </c>
      <c r="I10" s="91">
        <f>((F10/B10)-1)*100</f>
        <v>-16.731215088170494</v>
      </c>
      <c r="J10" s="432"/>
      <c r="K10" s="1"/>
    </row>
    <row r="11" spans="1:14" x14ac:dyDescent="0.25">
      <c r="F11" s="8"/>
      <c r="G11" s="8"/>
      <c r="H11" s="8"/>
    </row>
    <row r="12" spans="1:14" x14ac:dyDescent="0.25">
      <c r="F12" s="8"/>
      <c r="G12" s="8"/>
      <c r="H12" s="8"/>
    </row>
    <row r="13" spans="1:14" x14ac:dyDescent="0.25">
      <c r="F13" s="8"/>
      <c r="G13" s="8"/>
      <c r="H13" s="8"/>
    </row>
    <row r="14" spans="1:14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4" x14ac:dyDescent="0.25">
      <c r="E15" s="8"/>
      <c r="F15" s="8"/>
      <c r="I15" s="4"/>
      <c r="J15" s="4"/>
      <c r="K15" s="4"/>
      <c r="L15" s="4"/>
      <c r="M15" s="4"/>
    </row>
    <row r="16" spans="1:14" x14ac:dyDescent="0.25">
      <c r="E16" s="8"/>
      <c r="F16" s="8"/>
      <c r="I16" s="4"/>
      <c r="J16" s="4"/>
      <c r="K16" s="4"/>
      <c r="L16" s="4"/>
      <c r="M16" s="4"/>
    </row>
    <row r="17" spans="1:13" x14ac:dyDescent="0.25">
      <c r="E17" s="8"/>
      <c r="F17" s="8"/>
      <c r="I17" s="4"/>
      <c r="J17" s="4"/>
      <c r="K17" s="4"/>
      <c r="L17" s="4"/>
      <c r="M17" s="4"/>
    </row>
    <row r="18" spans="1:13" x14ac:dyDescent="0.25">
      <c r="E18" s="8"/>
      <c r="F18" s="8"/>
      <c r="I18" s="4"/>
      <c r="J18" s="4"/>
      <c r="K18" s="4"/>
      <c r="L18" s="4"/>
      <c r="M18" s="4"/>
    </row>
    <row r="19" spans="1:13" x14ac:dyDescent="0.25">
      <c r="E19" s="8"/>
      <c r="F19" s="8"/>
      <c r="I19" s="4"/>
      <c r="J19" s="4"/>
      <c r="K19" s="4"/>
      <c r="L19" s="4"/>
      <c r="M19" s="4"/>
    </row>
    <row r="20" spans="1:13" x14ac:dyDescent="0.25">
      <c r="H20" s="442"/>
      <c r="I20" s="4"/>
      <c r="J20" s="4"/>
      <c r="K20" s="4"/>
      <c r="L20" s="4"/>
      <c r="M20" s="4"/>
    </row>
    <row r="21" spans="1:13" x14ac:dyDescent="0.25">
      <c r="E21" s="441"/>
      <c r="F21" s="441"/>
      <c r="G21" s="441"/>
      <c r="I21" s="1"/>
      <c r="J21" s="71"/>
    </row>
    <row r="22" spans="1:13" x14ac:dyDescent="0.25">
      <c r="B22" s="439"/>
      <c r="E22" s="441"/>
      <c r="F22" s="441"/>
      <c r="G22" s="441"/>
    </row>
    <row r="23" spans="1:13" x14ac:dyDescent="0.25">
      <c r="B23" s="9"/>
      <c r="E23" s="441"/>
      <c r="F23" s="441"/>
      <c r="G23" s="441"/>
    </row>
    <row r="24" spans="1:13" x14ac:dyDescent="0.25">
      <c r="A24" s="1"/>
      <c r="B24" s="1"/>
      <c r="C24" s="1"/>
      <c r="D24" s="1"/>
      <c r="E24" s="441"/>
      <c r="F24" s="441"/>
      <c r="G24" s="441"/>
    </row>
    <row r="25" spans="1:13" x14ac:dyDescent="0.25">
      <c r="A25" s="1"/>
      <c r="B25" s="71"/>
      <c r="C25" s="71"/>
      <c r="D25" s="71"/>
      <c r="E25" s="441"/>
      <c r="F25" s="441"/>
      <c r="G25" s="441"/>
    </row>
    <row r="26" spans="1:13" x14ac:dyDescent="0.25">
      <c r="A26" s="1"/>
      <c r="B26" s="71"/>
      <c r="C26" s="71"/>
      <c r="D26" s="71"/>
      <c r="E26" s="441"/>
      <c r="F26" s="441"/>
      <c r="G26" s="441"/>
    </row>
    <row r="27" spans="1:13" x14ac:dyDescent="0.25">
      <c r="A27" s="1"/>
      <c r="B27" s="71"/>
      <c r="C27" s="71"/>
      <c r="D27" s="71"/>
    </row>
    <row r="28" spans="1:13" x14ac:dyDescent="0.25">
      <c r="A28" s="1"/>
      <c r="B28" s="71"/>
      <c r="C28" s="71"/>
      <c r="D28" s="71"/>
    </row>
    <row r="29" spans="1:13" x14ac:dyDescent="0.25">
      <c r="A29" s="1"/>
      <c r="B29" s="71"/>
      <c r="C29" s="71"/>
      <c r="D29" s="71"/>
    </row>
    <row r="30" spans="1:13" x14ac:dyDescent="0.25">
      <c r="A30" s="1"/>
      <c r="B30" s="71"/>
      <c r="C30" s="71"/>
      <c r="D30" s="71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148D5FEB-6213-4650-B091-ACBE73EA9C52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10.54296875" style="20" customWidth="1"/>
    <col min="2" max="2" width="15.54296875" style="20" customWidth="1"/>
    <col min="3" max="3" width="13.7265625" style="20" customWidth="1"/>
    <col min="4" max="5" width="18.54296875" style="20" bestFit="1" customWidth="1"/>
    <col min="6" max="16384" width="8.81640625" style="20"/>
  </cols>
  <sheetData>
    <row r="1" spans="1:8" ht="13" x14ac:dyDescent="0.3">
      <c r="A1" s="532" t="s">
        <v>735</v>
      </c>
      <c r="B1" s="532"/>
      <c r="C1" s="532"/>
      <c r="D1" s="532"/>
      <c r="G1" s="531" t="s">
        <v>239</v>
      </c>
      <c r="H1" s="531"/>
    </row>
    <row r="2" spans="1:8" ht="13" x14ac:dyDescent="0.3">
      <c r="A2" s="221" t="s">
        <v>220</v>
      </c>
      <c r="B2" s="220" t="s">
        <v>243</v>
      </c>
      <c r="C2" s="219" t="s">
        <v>219</v>
      </c>
      <c r="D2" s="218" t="s">
        <v>734</v>
      </c>
      <c r="E2" s="218" t="s">
        <v>733</v>
      </c>
      <c r="F2" s="217"/>
    </row>
    <row r="3" spans="1:8" x14ac:dyDescent="0.25">
      <c r="A3" s="37" t="s">
        <v>221</v>
      </c>
      <c r="B3" s="47">
        <v>11450.06545325998</v>
      </c>
      <c r="C3" s="47">
        <v>13295.960188479989</v>
      </c>
      <c r="D3" s="47">
        <f>B3</f>
        <v>11450.06545325998</v>
      </c>
      <c r="E3" s="47">
        <f>C3</f>
        <v>13295.960188479989</v>
      </c>
      <c r="F3" s="217"/>
      <c r="G3" s="35"/>
      <c r="H3" s="35"/>
    </row>
    <row r="4" spans="1:8" x14ac:dyDescent="0.25">
      <c r="A4" s="37" t="s">
        <v>222</v>
      </c>
      <c r="B4" s="48">
        <v>6075.438935549987</v>
      </c>
      <c r="C4" s="48">
        <v>9816.5512424849439</v>
      </c>
      <c r="D4" s="48">
        <f>SUM(B3:B4)</f>
        <v>17525.504388809968</v>
      </c>
      <c r="E4" s="48">
        <f>SUM(C3:C4)</f>
        <v>23112.511430964933</v>
      </c>
      <c r="F4" s="217"/>
      <c r="G4" s="35"/>
      <c r="H4" s="35"/>
    </row>
    <row r="5" spans="1:8" x14ac:dyDescent="0.25">
      <c r="A5" s="37" t="s">
        <v>223</v>
      </c>
      <c r="B5" s="48">
        <v>8118.9539676799795</v>
      </c>
      <c r="C5" s="48">
        <v>12679.860631533084</v>
      </c>
      <c r="D5" s="48">
        <f>SUM(B3:B5)</f>
        <v>25644.458356489948</v>
      </c>
      <c r="E5" s="48">
        <f>SUM(C3:C5)</f>
        <v>35792.37206249802</v>
      </c>
      <c r="F5" s="217"/>
      <c r="G5" s="35"/>
      <c r="H5" s="35"/>
    </row>
    <row r="6" spans="1:8" x14ac:dyDescent="0.25">
      <c r="A6" s="37" t="s">
        <v>224</v>
      </c>
      <c r="B6" s="48">
        <v>9278.4191759999831</v>
      </c>
      <c r="C6" s="48">
        <v>12625.168037889958</v>
      </c>
      <c r="D6" s="48">
        <f>SUM(B3:B6)</f>
        <v>34922.877532489932</v>
      </c>
      <c r="E6" s="48">
        <f>SUM(C3:C6)</f>
        <v>48417.540100387982</v>
      </c>
      <c r="F6" s="217"/>
      <c r="G6" s="35"/>
      <c r="H6" s="35"/>
    </row>
    <row r="7" spans="1:8" x14ac:dyDescent="0.25">
      <c r="A7" s="37" t="s">
        <v>225</v>
      </c>
      <c r="B7" s="48">
        <v>9034.7744313299918</v>
      </c>
      <c r="C7" s="48">
        <v>12741.176215379979</v>
      </c>
      <c r="D7" s="48">
        <f>SUM(B3:B7)</f>
        <v>43957.651963819924</v>
      </c>
      <c r="E7" s="48">
        <f>SUM(C3:C7)</f>
        <v>61158.716315767961</v>
      </c>
      <c r="F7" s="217"/>
      <c r="G7" s="35"/>
      <c r="H7" s="35"/>
    </row>
    <row r="8" spans="1:8" x14ac:dyDescent="0.25">
      <c r="A8" s="37" t="s">
        <v>226</v>
      </c>
      <c r="B8" s="48">
        <v>12817.927786689972</v>
      </c>
      <c r="C8" s="48">
        <v>13706.004671900007</v>
      </c>
      <c r="D8" s="48">
        <f>SUM(B3:B8)</f>
        <v>56775.579750509896</v>
      </c>
      <c r="E8" s="48">
        <f>SUM(C3:C8)</f>
        <v>74864.72098766797</v>
      </c>
      <c r="F8" s="217"/>
      <c r="G8" s="35"/>
      <c r="H8" s="35"/>
    </row>
    <row r="9" spans="1:8" x14ac:dyDescent="0.25">
      <c r="A9" s="37" t="s">
        <v>227</v>
      </c>
      <c r="B9" s="48">
        <v>9844.9632670399842</v>
      </c>
      <c r="C9" s="48">
        <v>11982.506623759857</v>
      </c>
      <c r="D9" s="48">
        <f>SUM(B3:B9)</f>
        <v>66620.543017549877</v>
      </c>
      <c r="E9" s="48">
        <f>SUM(C3:C9)</f>
        <v>86847.227611427821</v>
      </c>
      <c r="F9" s="217"/>
      <c r="G9" s="35"/>
      <c r="H9" s="35"/>
    </row>
    <row r="10" spans="1:8" x14ac:dyDescent="0.25">
      <c r="A10" s="37" t="s">
        <v>228</v>
      </c>
      <c r="B10" s="48">
        <v>8471.3542401299947</v>
      </c>
      <c r="C10" s="48">
        <v>11889.28420109993</v>
      </c>
      <c r="D10" s="48">
        <f>SUM(B3:B10)</f>
        <v>75091.89725767987</v>
      </c>
      <c r="E10" s="48">
        <f>SUM(C3:C10)</f>
        <v>98736.511812527751</v>
      </c>
      <c r="F10" s="217"/>
      <c r="G10" s="35"/>
      <c r="H10" s="35"/>
    </row>
    <row r="11" spans="1:8" x14ac:dyDescent="0.25">
      <c r="A11" s="37" t="s">
        <v>229</v>
      </c>
      <c r="B11" s="48">
        <v>8776.6834662099827</v>
      </c>
      <c r="C11" s="48">
        <v>14497.764217339982</v>
      </c>
      <c r="D11" s="48">
        <f>SUM(B3:B11)</f>
        <v>83868.580723889856</v>
      </c>
      <c r="E11" s="48">
        <f>SUM(C3:C11)</f>
        <v>113234.27602986773</v>
      </c>
      <c r="F11" s="217"/>
      <c r="G11" s="35"/>
      <c r="H11" s="35"/>
    </row>
    <row r="12" spans="1:8" x14ac:dyDescent="0.25">
      <c r="A12" s="37" t="s">
        <v>230</v>
      </c>
      <c r="B12" s="48">
        <v>8628.5504112899907</v>
      </c>
      <c r="C12" s="48">
        <v>15820.102972169849</v>
      </c>
      <c r="D12" s="48">
        <f>SUM(B3:B12)</f>
        <v>92497.13113517985</v>
      </c>
      <c r="E12" s="48">
        <f>SUM(C3:C12)</f>
        <v>129054.37900203757</v>
      </c>
      <c r="F12" s="217"/>
      <c r="G12" s="35"/>
      <c r="H12" s="35"/>
    </row>
    <row r="13" spans="1:8" x14ac:dyDescent="0.25">
      <c r="A13" s="37" t="s">
        <v>231</v>
      </c>
      <c r="B13" s="48">
        <v>11846.23692864998</v>
      </c>
      <c r="C13" s="48">
        <v>17308.104365435949</v>
      </c>
      <c r="D13" s="48">
        <f>SUM(B3:B13)</f>
        <v>104343.36806382982</v>
      </c>
      <c r="E13" s="48">
        <f>SUM(C3:C13)</f>
        <v>146362.48336747353</v>
      </c>
      <c r="G13" s="35"/>
      <c r="H13" s="35"/>
    </row>
    <row r="14" spans="1:8" x14ac:dyDescent="0.25">
      <c r="A14" s="37" t="s">
        <v>232</v>
      </c>
      <c r="B14" s="49">
        <v>12446.780113059986</v>
      </c>
      <c r="C14" s="49">
        <v>12149.903035639969</v>
      </c>
      <c r="D14" s="49">
        <f>SUM(B3:B14)</f>
        <v>116790.14817688981</v>
      </c>
      <c r="E14" s="49">
        <f>SUM(C3:C14)</f>
        <v>158512.38640311349</v>
      </c>
      <c r="G14" s="35"/>
      <c r="H14" s="35"/>
    </row>
    <row r="16" spans="1:8" x14ac:dyDescent="0.25">
      <c r="B16" s="216"/>
      <c r="C16" s="216"/>
    </row>
    <row r="17" spans="2:5" x14ac:dyDescent="0.25">
      <c r="B17" s="39"/>
      <c r="C17" s="39"/>
    </row>
    <row r="22" spans="2:5" x14ac:dyDescent="0.25">
      <c r="B22" s="215"/>
      <c r="C22" s="215"/>
      <c r="D22" s="35"/>
      <c r="E22" s="35"/>
    </row>
    <row r="23" spans="2:5" x14ac:dyDescent="0.25">
      <c r="B23" s="215"/>
      <c r="C23" s="215"/>
      <c r="D23" s="35"/>
      <c r="E23" s="35"/>
    </row>
    <row r="24" spans="2:5" x14ac:dyDescent="0.25">
      <c r="B24" s="215"/>
      <c r="C24" s="215"/>
      <c r="D24" s="35"/>
      <c r="E24" s="35"/>
    </row>
    <row r="25" spans="2:5" x14ac:dyDescent="0.25">
      <c r="B25" s="215"/>
      <c r="C25" s="215"/>
      <c r="D25" s="35"/>
      <c r="E25" s="35"/>
    </row>
    <row r="26" spans="2:5" x14ac:dyDescent="0.25">
      <c r="B26" s="215"/>
      <c r="C26" s="215"/>
      <c r="D26" s="35"/>
      <c r="E26" s="35"/>
    </row>
    <row r="27" spans="2:5" x14ac:dyDescent="0.25">
      <c r="B27" s="215"/>
      <c r="C27" s="215"/>
      <c r="D27" s="35"/>
      <c r="E27" s="35"/>
    </row>
    <row r="28" spans="2:5" x14ac:dyDescent="0.25">
      <c r="B28" s="215"/>
      <c r="C28" s="215"/>
      <c r="D28" s="35"/>
      <c r="E28" s="35"/>
    </row>
    <row r="29" spans="2:5" x14ac:dyDescent="0.25">
      <c r="B29" s="215"/>
      <c r="C29" s="215"/>
      <c r="D29" s="35"/>
      <c r="E29" s="35"/>
    </row>
    <row r="30" spans="2:5" x14ac:dyDescent="0.25">
      <c r="B30" s="215"/>
      <c r="C30" s="215"/>
      <c r="D30" s="35"/>
      <c r="E30" s="35"/>
    </row>
    <row r="31" spans="2:5" x14ac:dyDescent="0.25">
      <c r="B31" s="215"/>
      <c r="C31" s="215"/>
      <c r="D31" s="35"/>
      <c r="E31" s="35"/>
    </row>
    <row r="32" spans="2:5" x14ac:dyDescent="0.25">
      <c r="B32" s="215"/>
      <c r="C32" s="215"/>
      <c r="D32" s="35"/>
      <c r="E32" s="35"/>
    </row>
    <row r="33" spans="2:5" x14ac:dyDescent="0.25">
      <c r="B33" s="215"/>
      <c r="C33" s="215"/>
      <c r="D33" s="35"/>
      <c r="E33" s="35"/>
    </row>
  </sheetData>
  <mergeCells count="2">
    <mergeCell ref="G1:H1"/>
    <mergeCell ref="A1:D1"/>
  </mergeCells>
  <hyperlinks>
    <hyperlink ref="G1:H1" location="'Table of Content'!A1" display="Table of Content" xr:uid="{E7DEBDDC-996A-42E4-827F-657288E5F2C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7E61-88AD-4C18-88B1-0C45C78CF6FA}">
  <dimension ref="A1:R266"/>
  <sheetViews>
    <sheetView zoomScaleNormal="100" workbookViewId="0">
      <selection activeCell="P1" sqref="P1"/>
    </sheetView>
  </sheetViews>
  <sheetFormatPr defaultColWidth="8.81640625" defaultRowHeight="12.5" x14ac:dyDescent="0.25"/>
  <cols>
    <col min="1" max="1" width="21.6328125" style="20" customWidth="1"/>
    <col min="2" max="5" width="8.81640625" style="20"/>
    <col min="6" max="6" width="18" style="20" customWidth="1"/>
    <col min="7" max="7" width="8.81640625" style="20"/>
    <col min="8" max="8" width="17.453125" style="20" bestFit="1" customWidth="1"/>
    <col min="9" max="10" width="8.81640625" style="20"/>
    <col min="11" max="11" width="15.6328125" style="20" customWidth="1"/>
    <col min="12" max="14" width="8.81640625" style="20"/>
    <col min="15" max="15" width="8.81640625" style="20" customWidth="1"/>
    <col min="16" max="16384" width="8.81640625" style="20"/>
  </cols>
  <sheetData>
    <row r="1" spans="1:18" ht="13" x14ac:dyDescent="0.3">
      <c r="A1" s="38" t="s">
        <v>405</v>
      </c>
      <c r="B1" s="38"/>
      <c r="C1" s="38"/>
      <c r="D1" s="38"/>
      <c r="E1" s="61"/>
      <c r="J1" s="97"/>
      <c r="P1" s="51" t="s">
        <v>239</v>
      </c>
    </row>
    <row r="2" spans="1:18" ht="13" x14ac:dyDescent="0.3">
      <c r="A2" s="587" t="s">
        <v>391</v>
      </c>
      <c r="B2" s="588"/>
      <c r="C2" s="588"/>
      <c r="D2" s="589"/>
      <c r="E2" s="97"/>
      <c r="F2" s="539" t="s">
        <v>392</v>
      </c>
      <c r="G2" s="540"/>
      <c r="H2" s="540"/>
      <c r="I2" s="541"/>
      <c r="J2" s="97"/>
      <c r="K2" s="539" t="s">
        <v>390</v>
      </c>
      <c r="L2" s="540"/>
      <c r="M2" s="540"/>
      <c r="N2" s="541"/>
    </row>
    <row r="3" spans="1:18" ht="14.5" customHeight="1" x14ac:dyDescent="0.3">
      <c r="A3" s="26" t="s">
        <v>397</v>
      </c>
      <c r="B3" s="60">
        <v>2024</v>
      </c>
      <c r="C3" s="545">
        <v>2025</v>
      </c>
      <c r="D3" s="584"/>
      <c r="E3" s="97"/>
      <c r="F3" s="26" t="s">
        <v>397</v>
      </c>
      <c r="G3" s="83">
        <v>2024</v>
      </c>
      <c r="H3" s="545">
        <v>2025</v>
      </c>
      <c r="I3" s="584"/>
      <c r="J3" s="97"/>
      <c r="K3" s="26" t="s">
        <v>397</v>
      </c>
      <c r="L3" s="83">
        <v>2024</v>
      </c>
      <c r="M3" s="545">
        <v>2025</v>
      </c>
      <c r="N3" s="584"/>
    </row>
    <row r="4" spans="1:18" s="11" customFormat="1" ht="13" x14ac:dyDescent="0.3">
      <c r="A4" s="114" t="s">
        <v>220</v>
      </c>
      <c r="B4" s="167">
        <v>45597</v>
      </c>
      <c r="C4" s="167">
        <v>45931</v>
      </c>
      <c r="D4" s="167">
        <v>45962</v>
      </c>
      <c r="E4" s="97"/>
      <c r="F4" s="114" t="s">
        <v>220</v>
      </c>
      <c r="G4" s="167">
        <v>45597</v>
      </c>
      <c r="H4" s="167">
        <v>45931</v>
      </c>
      <c r="I4" s="167">
        <v>45962</v>
      </c>
      <c r="J4" s="101"/>
      <c r="K4" s="114" t="s">
        <v>220</v>
      </c>
      <c r="L4" s="167">
        <v>45597</v>
      </c>
      <c r="M4" s="167">
        <v>45931</v>
      </c>
      <c r="N4" s="167">
        <v>45962</v>
      </c>
      <c r="O4" s="20"/>
      <c r="P4" s="20"/>
      <c r="Q4" s="20"/>
      <c r="R4" s="20"/>
    </row>
    <row r="5" spans="1:18" x14ac:dyDescent="0.25">
      <c r="A5" s="429" t="s">
        <v>179</v>
      </c>
      <c r="B5" s="47">
        <v>366.92551275</v>
      </c>
      <c r="C5" s="47">
        <v>474.88412850999998</v>
      </c>
      <c r="D5" s="47">
        <v>447.35572307999996</v>
      </c>
      <c r="E5" s="47"/>
      <c r="F5" s="429" t="s">
        <v>62</v>
      </c>
      <c r="G5" s="47">
        <v>1614.89404436</v>
      </c>
      <c r="H5" s="47">
        <v>1664.80205258</v>
      </c>
      <c r="I5" s="47">
        <v>2219.0977459199999</v>
      </c>
      <c r="J5" s="47"/>
      <c r="K5" s="429" t="s">
        <v>121</v>
      </c>
      <c r="L5" s="47">
        <v>661.20548412000005</v>
      </c>
      <c r="M5" s="47">
        <v>545.06066862</v>
      </c>
      <c r="N5" s="47">
        <v>156.04664903</v>
      </c>
    </row>
    <row r="6" spans="1:18" x14ac:dyDescent="0.25">
      <c r="A6" s="427" t="s">
        <v>52</v>
      </c>
      <c r="B6" s="48">
        <v>572.02314527999999</v>
      </c>
      <c r="C6" s="48">
        <v>524.69866512999999</v>
      </c>
      <c r="D6" s="48">
        <v>406.79369464000001</v>
      </c>
      <c r="E6" s="48"/>
      <c r="F6" s="427" t="s">
        <v>85</v>
      </c>
      <c r="G6" s="48">
        <v>258.73036979</v>
      </c>
      <c r="H6" s="48">
        <v>908.44120303</v>
      </c>
      <c r="I6" s="48">
        <v>302.45047020999999</v>
      </c>
      <c r="J6" s="48"/>
      <c r="K6" s="427" t="s">
        <v>171</v>
      </c>
      <c r="L6" s="48">
        <v>134.23014311</v>
      </c>
      <c r="M6" s="48">
        <v>79.4057738999999</v>
      </c>
      <c r="N6" s="48">
        <v>84.355522069999992</v>
      </c>
    </row>
    <row r="7" spans="1:18" x14ac:dyDescent="0.25">
      <c r="A7" s="427" t="s">
        <v>54</v>
      </c>
      <c r="B7" s="48">
        <v>212.88973680000001</v>
      </c>
      <c r="C7" s="48">
        <v>367.61978798000001</v>
      </c>
      <c r="D7" s="48">
        <v>358.16625364999999</v>
      </c>
      <c r="E7" s="48"/>
      <c r="F7" s="427" t="s">
        <v>138</v>
      </c>
      <c r="G7" s="48">
        <v>123.82051659999999</v>
      </c>
      <c r="H7" s="48">
        <v>87.825642329999894</v>
      </c>
      <c r="I7" s="48">
        <v>205.8187892</v>
      </c>
      <c r="J7" s="48"/>
      <c r="K7" s="427" t="s">
        <v>166</v>
      </c>
      <c r="L7" s="48">
        <v>38.07078508</v>
      </c>
      <c r="M7" s="48">
        <v>15.90605023</v>
      </c>
      <c r="N7" s="48">
        <v>37.4919929</v>
      </c>
    </row>
    <row r="8" spans="1:18" x14ac:dyDescent="0.25">
      <c r="A8" s="427" t="s">
        <v>358</v>
      </c>
      <c r="B8" s="48">
        <v>254.63347146999999</v>
      </c>
      <c r="C8" s="48">
        <v>266.83449744000001</v>
      </c>
      <c r="D8" s="48">
        <v>299.22910464999995</v>
      </c>
      <c r="E8" s="48"/>
      <c r="F8" s="427" t="s">
        <v>46</v>
      </c>
      <c r="G8" s="48">
        <v>0</v>
      </c>
      <c r="H8" s="48">
        <v>52.005937000000003</v>
      </c>
      <c r="I8" s="48">
        <v>205.51193547</v>
      </c>
      <c r="J8" s="48"/>
      <c r="K8" s="427" t="s">
        <v>202</v>
      </c>
      <c r="L8" s="48">
        <v>20.7942398</v>
      </c>
      <c r="M8" s="48">
        <v>26.398866699999999</v>
      </c>
      <c r="N8" s="48">
        <v>19.334414129999999</v>
      </c>
    </row>
    <row r="9" spans="1:18" x14ac:dyDescent="0.25">
      <c r="A9" s="427" t="s">
        <v>30</v>
      </c>
      <c r="B9" s="48">
        <v>315.71517331000103</v>
      </c>
      <c r="C9" s="48">
        <v>489.20946750000002</v>
      </c>
      <c r="D9" s="48">
        <v>262.20812246000003</v>
      </c>
      <c r="E9" s="48"/>
      <c r="F9" s="427" t="s">
        <v>151</v>
      </c>
      <c r="G9" s="48">
        <v>210.17954438999999</v>
      </c>
      <c r="H9" s="48">
        <v>63.42268267</v>
      </c>
      <c r="I9" s="48">
        <v>203.72114685</v>
      </c>
      <c r="J9" s="48"/>
      <c r="K9" s="427" t="s">
        <v>167</v>
      </c>
      <c r="L9" s="48">
        <v>1.2955063200000001</v>
      </c>
      <c r="M9" s="48">
        <v>2.3882646099999998</v>
      </c>
      <c r="N9" s="48">
        <v>18.577534350000001</v>
      </c>
    </row>
    <row r="10" spans="1:18" x14ac:dyDescent="0.25">
      <c r="A10" s="427" t="s">
        <v>81</v>
      </c>
      <c r="B10" s="48">
        <v>152.02578509</v>
      </c>
      <c r="C10" s="48">
        <v>227.47591827000002</v>
      </c>
      <c r="D10" s="48">
        <v>247.54571609999999</v>
      </c>
      <c r="E10" s="48"/>
      <c r="F10" s="427" t="s">
        <v>101</v>
      </c>
      <c r="G10" s="48">
        <v>244.65093443000001</v>
      </c>
      <c r="H10" s="48">
        <v>104.86208832999999</v>
      </c>
      <c r="I10" s="48">
        <v>166.26863462</v>
      </c>
      <c r="J10" s="48"/>
      <c r="K10" s="427" t="s">
        <v>81</v>
      </c>
      <c r="L10" s="48">
        <v>24.81104478</v>
      </c>
      <c r="M10" s="48">
        <v>371.99270025999999</v>
      </c>
      <c r="N10" s="48">
        <v>17.93526434</v>
      </c>
    </row>
    <row r="11" spans="1:18" x14ac:dyDescent="0.25">
      <c r="A11" s="427" t="s">
        <v>83</v>
      </c>
      <c r="B11" s="48">
        <v>192.68876625000101</v>
      </c>
      <c r="C11" s="48">
        <v>176.998047780001</v>
      </c>
      <c r="D11" s="48">
        <v>189.15219685999901</v>
      </c>
      <c r="E11" s="48"/>
      <c r="F11" s="427" t="s">
        <v>146</v>
      </c>
      <c r="G11" s="48">
        <v>122.74642555</v>
      </c>
      <c r="H11" s="48">
        <v>105.16958912</v>
      </c>
      <c r="I11" s="48">
        <v>118.05987716</v>
      </c>
      <c r="J11" s="48"/>
      <c r="K11" s="427" t="s">
        <v>96</v>
      </c>
      <c r="L11" s="48">
        <v>8.8672762400000007</v>
      </c>
      <c r="M11" s="48">
        <v>8.4672552799999998</v>
      </c>
      <c r="N11" s="48">
        <v>17.91149819</v>
      </c>
    </row>
    <row r="12" spans="1:18" x14ac:dyDescent="0.25">
      <c r="A12" s="427" t="s">
        <v>208</v>
      </c>
      <c r="B12" s="48">
        <v>178.35188084000001</v>
      </c>
      <c r="C12" s="48">
        <v>181.91488214999899</v>
      </c>
      <c r="D12" s="48">
        <v>182.87400783000001</v>
      </c>
      <c r="E12" s="48"/>
      <c r="F12" s="427" t="s">
        <v>125</v>
      </c>
      <c r="G12" s="48">
        <v>58.5786102</v>
      </c>
      <c r="H12" s="48">
        <v>177.47563850999998</v>
      </c>
      <c r="I12" s="48">
        <v>97.832189450000001</v>
      </c>
      <c r="J12" s="48"/>
      <c r="K12" s="427" t="s">
        <v>200</v>
      </c>
      <c r="L12" s="48">
        <v>15.86254426</v>
      </c>
      <c r="M12" s="48">
        <v>11.319801230000001</v>
      </c>
      <c r="N12" s="48">
        <v>13.561522009999999</v>
      </c>
    </row>
    <row r="13" spans="1:18" x14ac:dyDescent="0.25">
      <c r="A13" s="427" t="s">
        <v>171</v>
      </c>
      <c r="B13" s="48">
        <v>173.1531301261</v>
      </c>
      <c r="C13" s="48">
        <v>139.24113991999999</v>
      </c>
      <c r="D13" s="48">
        <v>159.86718013999999</v>
      </c>
      <c r="E13" s="48"/>
      <c r="F13" s="427" t="s">
        <v>21</v>
      </c>
      <c r="G13" s="48">
        <v>89.510886959999993</v>
      </c>
      <c r="H13" s="48">
        <v>74.231571069999987</v>
      </c>
      <c r="I13" s="48">
        <v>87.796183530000008</v>
      </c>
      <c r="J13" s="48"/>
      <c r="K13" s="427" t="s">
        <v>140</v>
      </c>
      <c r="L13" s="48">
        <v>11.091868529999999</v>
      </c>
      <c r="M13" s="48">
        <v>9.6409932100000013</v>
      </c>
      <c r="N13" s="48">
        <v>12.185663810000001</v>
      </c>
    </row>
    <row r="14" spans="1:18" x14ac:dyDescent="0.25">
      <c r="A14" s="427" t="s">
        <v>28</v>
      </c>
      <c r="B14" s="48">
        <v>151.16656119000001</v>
      </c>
      <c r="C14" s="48">
        <v>133.12224936000001</v>
      </c>
      <c r="D14" s="48">
        <v>149.94256879</v>
      </c>
      <c r="E14" s="48"/>
      <c r="F14" s="427" t="s">
        <v>179</v>
      </c>
      <c r="G14" s="48">
        <v>292.15847126</v>
      </c>
      <c r="H14" s="48">
        <v>51.852993650000002</v>
      </c>
      <c r="I14" s="48">
        <v>86.468528890000002</v>
      </c>
      <c r="J14" s="48"/>
      <c r="K14" s="427" t="s">
        <v>207</v>
      </c>
      <c r="L14" s="48">
        <v>13.822677970000001</v>
      </c>
      <c r="M14" s="48">
        <v>2.60653164</v>
      </c>
      <c r="N14" s="48">
        <v>8.8951702000000097</v>
      </c>
    </row>
    <row r="15" spans="1:18" x14ac:dyDescent="0.25">
      <c r="A15" s="427" t="s">
        <v>195</v>
      </c>
      <c r="B15" s="48">
        <v>145.60494857</v>
      </c>
      <c r="C15" s="48">
        <v>148.06975252000001</v>
      </c>
      <c r="D15" s="48">
        <v>149.42835658000101</v>
      </c>
      <c r="E15" s="48"/>
      <c r="F15" s="427" t="s">
        <v>177</v>
      </c>
      <c r="G15" s="48">
        <v>43.581739970000001</v>
      </c>
      <c r="H15" s="48">
        <v>135.17528583000001</v>
      </c>
      <c r="I15" s="48">
        <v>84.645055079999992</v>
      </c>
      <c r="J15" s="48"/>
      <c r="K15" s="427" t="s">
        <v>214</v>
      </c>
      <c r="L15" s="48">
        <v>10.081275659999999</v>
      </c>
      <c r="M15" s="48">
        <v>9.7164354800000012</v>
      </c>
      <c r="N15" s="48">
        <v>8.4234563399999995</v>
      </c>
    </row>
    <row r="16" spans="1:18" x14ac:dyDescent="0.25">
      <c r="A16" s="427" t="s">
        <v>146</v>
      </c>
      <c r="B16" s="48">
        <v>153.72056237999999</v>
      </c>
      <c r="C16" s="48">
        <v>181.4495095</v>
      </c>
      <c r="D16" s="48">
        <v>144.58304056999998</v>
      </c>
      <c r="E16" s="48"/>
      <c r="F16" s="427" t="s">
        <v>96</v>
      </c>
      <c r="G16" s="48">
        <v>105.586342</v>
      </c>
      <c r="H16" s="48">
        <v>144.30777825999999</v>
      </c>
      <c r="I16" s="48">
        <v>81.52143375</v>
      </c>
      <c r="J16" s="48"/>
      <c r="K16" s="427" t="s">
        <v>142</v>
      </c>
      <c r="L16" s="48">
        <v>1.4322018600000002</v>
      </c>
      <c r="M16" s="48">
        <v>1.36621427</v>
      </c>
      <c r="N16" s="48">
        <v>7.9452980899999996</v>
      </c>
    </row>
    <row r="17" spans="1:14" x14ac:dyDescent="0.25">
      <c r="A17" s="427" t="s">
        <v>180</v>
      </c>
      <c r="B17" s="48">
        <v>135.83717288999998</v>
      </c>
      <c r="C17" s="48">
        <v>159.34288644</v>
      </c>
      <c r="D17" s="48">
        <v>134.97862641</v>
      </c>
      <c r="E17" s="48"/>
      <c r="F17" s="427" t="s">
        <v>2</v>
      </c>
      <c r="G17" s="48">
        <v>34.056621010000001</v>
      </c>
      <c r="H17" s="48">
        <v>92.017828280000003</v>
      </c>
      <c r="I17" s="48">
        <v>77.372523560000005</v>
      </c>
      <c r="J17" s="48"/>
      <c r="K17" s="427" t="s">
        <v>173</v>
      </c>
      <c r="L17" s="48">
        <v>6.97225933</v>
      </c>
      <c r="M17" s="48">
        <v>12.95434414</v>
      </c>
      <c r="N17" s="48">
        <v>7.3782730299999999</v>
      </c>
    </row>
    <row r="18" spans="1:14" x14ac:dyDescent="0.25">
      <c r="A18" s="427" t="s">
        <v>178</v>
      </c>
      <c r="B18" s="48">
        <v>103.14706371</v>
      </c>
      <c r="C18" s="48">
        <v>90.588344400000096</v>
      </c>
      <c r="D18" s="48">
        <v>129.90738490000101</v>
      </c>
      <c r="E18" s="48"/>
      <c r="F18" s="427" t="s">
        <v>163</v>
      </c>
      <c r="G18" s="48">
        <v>9.6038537899999987</v>
      </c>
      <c r="H18" s="48">
        <v>48.491397060000004</v>
      </c>
      <c r="I18" s="48">
        <v>58.739349850000004</v>
      </c>
      <c r="J18" s="48"/>
      <c r="K18" s="427" t="s">
        <v>164</v>
      </c>
      <c r="L18" s="48">
        <v>1.7911358899999998</v>
      </c>
      <c r="M18" s="48">
        <v>2.8739069900000001</v>
      </c>
      <c r="N18" s="48">
        <v>6.5546776500000004</v>
      </c>
    </row>
    <row r="19" spans="1:14" x14ac:dyDescent="0.25">
      <c r="A19" s="427" t="s">
        <v>106</v>
      </c>
      <c r="B19" s="48">
        <v>132.57074554000002</v>
      </c>
      <c r="C19" s="48">
        <v>100.23756141</v>
      </c>
      <c r="D19" s="48">
        <v>129.64742604</v>
      </c>
      <c r="E19" s="48"/>
      <c r="F19" s="427" t="s">
        <v>172</v>
      </c>
      <c r="G19" s="48">
        <v>15.53758099</v>
      </c>
      <c r="H19" s="48">
        <v>183.50808137999999</v>
      </c>
      <c r="I19" s="48">
        <v>48.607026990000001</v>
      </c>
      <c r="J19" s="48"/>
      <c r="K19" s="427" t="s">
        <v>208</v>
      </c>
      <c r="L19" s="48">
        <v>6.2178297200000001</v>
      </c>
      <c r="M19" s="48">
        <v>3.3443383300000002</v>
      </c>
      <c r="N19" s="48">
        <v>6.0642752900000003</v>
      </c>
    </row>
    <row r="20" spans="1:14" x14ac:dyDescent="0.25">
      <c r="A20" s="427" t="s">
        <v>138</v>
      </c>
      <c r="B20" s="48">
        <v>116.76460428</v>
      </c>
      <c r="C20" s="48">
        <v>125.21320306999999</v>
      </c>
      <c r="D20" s="48">
        <v>127.552753940001</v>
      </c>
      <c r="E20" s="48"/>
      <c r="F20" s="427" t="s">
        <v>358</v>
      </c>
      <c r="G20" s="48">
        <v>26.255711480000002</v>
      </c>
      <c r="H20" s="48">
        <v>36.774144299999996</v>
      </c>
      <c r="I20" s="48">
        <v>39.285810470000001</v>
      </c>
      <c r="J20" s="48"/>
      <c r="K20" s="427" t="s">
        <v>178</v>
      </c>
      <c r="L20" s="48">
        <v>6.4572104499999998</v>
      </c>
      <c r="M20" s="48">
        <v>5.3123991200000003</v>
      </c>
      <c r="N20" s="48">
        <v>5.6659617699999902</v>
      </c>
    </row>
    <row r="21" spans="1:14" x14ac:dyDescent="0.25">
      <c r="A21" s="427" t="s">
        <v>80</v>
      </c>
      <c r="B21" s="48">
        <v>55.364019630000001</v>
      </c>
      <c r="C21" s="48">
        <v>70.299269809999998</v>
      </c>
      <c r="D21" s="48">
        <v>126.80762414</v>
      </c>
      <c r="E21" s="48"/>
      <c r="F21" s="427" t="s">
        <v>159</v>
      </c>
      <c r="G21" s="48">
        <v>46.264034280000004</v>
      </c>
      <c r="H21" s="48">
        <v>117.75658815999999</v>
      </c>
      <c r="I21" s="48">
        <v>32.81750418</v>
      </c>
      <c r="J21" s="48"/>
      <c r="K21" s="427" t="s">
        <v>184</v>
      </c>
      <c r="L21" s="48">
        <v>2216.6077445700002</v>
      </c>
      <c r="M21" s="48">
        <v>7.9266017400000006</v>
      </c>
      <c r="N21" s="48">
        <v>4.9866935400000001</v>
      </c>
    </row>
    <row r="22" spans="1:14" x14ac:dyDescent="0.25">
      <c r="A22" s="427" t="s">
        <v>84</v>
      </c>
      <c r="B22" s="48">
        <v>128.96192116</v>
      </c>
      <c r="C22" s="48">
        <v>120.61685455</v>
      </c>
      <c r="D22" s="48">
        <v>125.89514608</v>
      </c>
      <c r="E22" s="48"/>
      <c r="F22" s="427" t="s">
        <v>178</v>
      </c>
      <c r="G22" s="48">
        <v>103.07585634</v>
      </c>
      <c r="H22" s="48">
        <v>9.4487798000000005</v>
      </c>
      <c r="I22" s="48">
        <v>32.786982000000002</v>
      </c>
      <c r="J22" s="48"/>
      <c r="K22" s="427" t="s">
        <v>80</v>
      </c>
      <c r="L22" s="48">
        <v>3.0710294999999999</v>
      </c>
      <c r="M22" s="48">
        <v>5.8542406199999997</v>
      </c>
      <c r="N22" s="48">
        <v>4.85746039</v>
      </c>
    </row>
    <row r="23" spans="1:14" x14ac:dyDescent="0.25">
      <c r="A23" s="427" t="s">
        <v>189</v>
      </c>
      <c r="B23" s="48">
        <v>119.88949395</v>
      </c>
      <c r="C23" s="48">
        <v>128.67326520999998</v>
      </c>
      <c r="D23" s="48">
        <v>124.81021631</v>
      </c>
      <c r="E23" s="48"/>
      <c r="F23" s="427" t="s">
        <v>75</v>
      </c>
      <c r="G23" s="48">
        <v>72.077060930000002</v>
      </c>
      <c r="H23" s="48">
        <v>28.187795390000002</v>
      </c>
      <c r="I23" s="48">
        <v>31.10024379</v>
      </c>
      <c r="J23" s="48"/>
      <c r="K23" s="427" t="s">
        <v>157</v>
      </c>
      <c r="L23" s="48">
        <v>6.6775657699999993</v>
      </c>
      <c r="M23" s="48">
        <v>6.3383703899999997</v>
      </c>
      <c r="N23" s="48">
        <v>4.6111828200000007</v>
      </c>
    </row>
    <row r="24" spans="1:14" x14ac:dyDescent="0.25">
      <c r="A24" s="427" t="s">
        <v>145</v>
      </c>
      <c r="B24" s="48">
        <v>79.377932299999998</v>
      </c>
      <c r="C24" s="48">
        <v>74.315030609999994</v>
      </c>
      <c r="D24" s="48">
        <v>117.79776778</v>
      </c>
      <c r="E24" s="48"/>
      <c r="F24" s="427" t="s">
        <v>74</v>
      </c>
      <c r="G24" s="48">
        <v>10.840890179999999</v>
      </c>
      <c r="H24" s="48">
        <v>107.32277753</v>
      </c>
      <c r="I24" s="48">
        <v>28.984792679999998</v>
      </c>
      <c r="J24" s="48"/>
      <c r="K24" s="427" t="s">
        <v>163</v>
      </c>
      <c r="L24" s="48">
        <v>3.54996804</v>
      </c>
      <c r="M24" s="48">
        <v>4.8354714200000002</v>
      </c>
      <c r="N24" s="48">
        <v>4.5074096900000002</v>
      </c>
    </row>
    <row r="25" spans="1:14" x14ac:dyDescent="0.25">
      <c r="A25" s="427" t="s">
        <v>27</v>
      </c>
      <c r="B25" s="48">
        <v>153.38260038999999</v>
      </c>
      <c r="C25" s="48">
        <v>104.55159292</v>
      </c>
      <c r="D25" s="48">
        <v>109.36854226000001</v>
      </c>
      <c r="E25" s="48"/>
      <c r="F25" s="427" t="s">
        <v>127</v>
      </c>
      <c r="G25" s="48">
        <v>121.14183034</v>
      </c>
      <c r="H25" s="48">
        <v>43.647566429999998</v>
      </c>
      <c r="I25" s="48">
        <v>22.173661920000001</v>
      </c>
      <c r="J25" s="48"/>
      <c r="K25" s="427" t="s">
        <v>213</v>
      </c>
      <c r="L25" s="48">
        <v>7.7561010000000001</v>
      </c>
      <c r="M25" s="48">
        <v>13.48320425</v>
      </c>
      <c r="N25" s="48">
        <v>4.4800505900000003</v>
      </c>
    </row>
    <row r="26" spans="1:14" x14ac:dyDescent="0.25">
      <c r="A26" s="427" t="s">
        <v>105</v>
      </c>
      <c r="B26" s="48">
        <v>105.88983612</v>
      </c>
      <c r="C26" s="48">
        <v>97.392822919999901</v>
      </c>
      <c r="D26" s="48">
        <v>103.25607425</v>
      </c>
      <c r="E26" s="48"/>
      <c r="F26" s="427" t="s">
        <v>157</v>
      </c>
      <c r="G26" s="48">
        <v>9.9434977200000105</v>
      </c>
      <c r="H26" s="48">
        <v>30.223676640000001</v>
      </c>
      <c r="I26" s="48">
        <v>21.535622670000002</v>
      </c>
      <c r="J26" s="48"/>
      <c r="K26" s="427" t="s">
        <v>204</v>
      </c>
      <c r="L26" s="48">
        <v>6.4043731799999994</v>
      </c>
      <c r="M26" s="48">
        <v>4.8216998600000007</v>
      </c>
      <c r="N26" s="48">
        <v>4.27934269</v>
      </c>
    </row>
    <row r="27" spans="1:14" x14ac:dyDescent="0.25">
      <c r="A27" s="427" t="s">
        <v>174</v>
      </c>
      <c r="B27" s="48">
        <v>74.825040270000002</v>
      </c>
      <c r="C27" s="48">
        <v>65.773184020000002</v>
      </c>
      <c r="D27" s="48">
        <v>102.63600613</v>
      </c>
      <c r="E27" s="48"/>
      <c r="F27" s="427" t="s">
        <v>8</v>
      </c>
      <c r="G27" s="48">
        <v>5.9719292800000003</v>
      </c>
      <c r="H27" s="48">
        <v>21.731100870000002</v>
      </c>
      <c r="I27" s="48">
        <v>21.234817940000003</v>
      </c>
      <c r="J27" s="48"/>
      <c r="K27" s="427" t="s">
        <v>192</v>
      </c>
      <c r="L27" s="48">
        <v>0.57786828000000001</v>
      </c>
      <c r="M27" s="48">
        <v>0.39758859000000002</v>
      </c>
      <c r="N27" s="48">
        <v>4.2337842800000001</v>
      </c>
    </row>
    <row r="28" spans="1:14" x14ac:dyDescent="0.25">
      <c r="A28" s="427" t="s">
        <v>15</v>
      </c>
      <c r="B28" s="48">
        <v>95.730568990000293</v>
      </c>
      <c r="C28" s="48">
        <v>96.888926680000495</v>
      </c>
      <c r="D28" s="48">
        <v>99.697546730000198</v>
      </c>
      <c r="E28" s="48"/>
      <c r="F28" s="427" t="s">
        <v>15</v>
      </c>
      <c r="G28" s="48">
        <v>58.318319840000001</v>
      </c>
      <c r="H28" s="48">
        <v>55.907374220000001</v>
      </c>
      <c r="I28" s="48">
        <v>21.183127199999998</v>
      </c>
      <c r="J28" s="48"/>
      <c r="K28" s="427" t="s">
        <v>151</v>
      </c>
      <c r="L28" s="48">
        <v>11.6015043</v>
      </c>
      <c r="M28" s="48">
        <v>10.918434980000001</v>
      </c>
      <c r="N28" s="48">
        <v>4.1963419100000001</v>
      </c>
    </row>
    <row r="29" spans="1:14" x14ac:dyDescent="0.25">
      <c r="A29" s="427" t="s">
        <v>121</v>
      </c>
      <c r="B29" s="48">
        <v>52.396627909999999</v>
      </c>
      <c r="C29" s="48">
        <v>79.162457579999995</v>
      </c>
      <c r="D29" s="48">
        <v>98.40438795</v>
      </c>
      <c r="E29" s="48"/>
      <c r="F29" s="427" t="s">
        <v>131</v>
      </c>
      <c r="G29" s="48">
        <v>4.5376202300000008</v>
      </c>
      <c r="H29" s="48">
        <v>27.668179120000001</v>
      </c>
      <c r="I29" s="48">
        <v>20.187983640000002</v>
      </c>
      <c r="J29" s="48"/>
      <c r="K29" s="427" t="s">
        <v>0</v>
      </c>
      <c r="L29" s="48">
        <v>0.98607133999999996</v>
      </c>
      <c r="M29" s="48">
        <v>2.4991034900000004</v>
      </c>
      <c r="N29" s="48">
        <v>3.68967746</v>
      </c>
    </row>
    <row r="30" spans="1:14" x14ac:dyDescent="0.25">
      <c r="A30" s="427" t="s">
        <v>12</v>
      </c>
      <c r="B30" s="48">
        <v>161.73037918</v>
      </c>
      <c r="C30" s="48">
        <v>116.27210989</v>
      </c>
      <c r="D30" s="48">
        <v>95.818087240000096</v>
      </c>
      <c r="E30" s="48"/>
      <c r="F30" s="427" t="s">
        <v>124</v>
      </c>
      <c r="G30" s="48">
        <v>14.96902343</v>
      </c>
      <c r="H30" s="48">
        <v>25.092385329999999</v>
      </c>
      <c r="I30" s="48">
        <v>20.107667929999998</v>
      </c>
      <c r="J30" s="48"/>
      <c r="K30" s="427" t="s">
        <v>165</v>
      </c>
      <c r="L30" s="48">
        <v>1.05426833</v>
      </c>
      <c r="M30" s="48">
        <v>2.8563590400000001</v>
      </c>
      <c r="N30" s="48">
        <v>3.6363924000000001</v>
      </c>
    </row>
    <row r="31" spans="1:14" x14ac:dyDescent="0.25">
      <c r="A31" s="427" t="s">
        <v>191</v>
      </c>
      <c r="B31" s="48">
        <v>74.980560099999991</v>
      </c>
      <c r="C31" s="48">
        <v>69.859221760000011</v>
      </c>
      <c r="D31" s="48">
        <v>91.028767900000204</v>
      </c>
      <c r="E31" s="48"/>
      <c r="F31" s="427" t="s">
        <v>84</v>
      </c>
      <c r="G31" s="48">
        <v>45.483759240000005</v>
      </c>
      <c r="H31" s="48">
        <v>9.9467038300000006</v>
      </c>
      <c r="I31" s="48">
        <v>19.970114949999999</v>
      </c>
      <c r="J31" s="48"/>
      <c r="K31" s="427" t="s">
        <v>158</v>
      </c>
      <c r="L31" s="48">
        <v>12.234626949999999</v>
      </c>
      <c r="M31" s="48">
        <v>4.7666337499999996</v>
      </c>
      <c r="N31" s="48">
        <v>3.53729081</v>
      </c>
    </row>
    <row r="32" spans="1:14" x14ac:dyDescent="0.25">
      <c r="A32" s="427" t="s">
        <v>29</v>
      </c>
      <c r="B32" s="48">
        <v>84.842898179999906</v>
      </c>
      <c r="C32" s="48">
        <v>108.52288318000001</v>
      </c>
      <c r="D32" s="48">
        <v>87.917691079999699</v>
      </c>
      <c r="E32" s="48"/>
      <c r="F32" s="427" t="s">
        <v>86</v>
      </c>
      <c r="G32" s="48">
        <v>7.7126072199999998</v>
      </c>
      <c r="H32" s="48">
        <v>19.117384440000002</v>
      </c>
      <c r="I32" s="48">
        <v>17.76957268</v>
      </c>
      <c r="J32" s="48"/>
      <c r="K32" s="427" t="s">
        <v>162</v>
      </c>
      <c r="L32" s="48">
        <v>9.83528555</v>
      </c>
      <c r="M32" s="48">
        <v>7.5644063399999997</v>
      </c>
      <c r="N32" s="48">
        <v>3.4540417300000001</v>
      </c>
    </row>
    <row r="33" spans="1:14" x14ac:dyDescent="0.25">
      <c r="A33" s="427" t="s">
        <v>85</v>
      </c>
      <c r="B33" s="48">
        <v>109.22445303000001</v>
      </c>
      <c r="C33" s="48">
        <v>77.451359249999996</v>
      </c>
      <c r="D33" s="48">
        <v>87.188089840000004</v>
      </c>
      <c r="E33" s="48"/>
      <c r="F33" s="427" t="s">
        <v>105</v>
      </c>
      <c r="G33" s="48">
        <v>23.324412969999997</v>
      </c>
      <c r="H33" s="48">
        <v>10.773614949999999</v>
      </c>
      <c r="I33" s="48">
        <v>15.81925558</v>
      </c>
      <c r="J33" s="48"/>
      <c r="K33" s="427" t="s">
        <v>138</v>
      </c>
      <c r="L33" s="48">
        <v>3.3480363799999999</v>
      </c>
      <c r="M33" s="48">
        <v>4.6176122599999996</v>
      </c>
      <c r="N33" s="48">
        <v>3.2307767200000002</v>
      </c>
    </row>
    <row r="34" spans="1:14" x14ac:dyDescent="0.25">
      <c r="A34" s="427" t="s">
        <v>113</v>
      </c>
      <c r="B34" s="48">
        <v>73.517581640000103</v>
      </c>
      <c r="C34" s="48">
        <v>64.505086680000005</v>
      </c>
      <c r="D34" s="48">
        <v>85.570210650000007</v>
      </c>
      <c r="E34" s="48"/>
      <c r="F34" s="427" t="s">
        <v>132</v>
      </c>
      <c r="G34" s="48">
        <v>11.784082250000001</v>
      </c>
      <c r="H34" s="48">
        <v>7.0308783099999994</v>
      </c>
      <c r="I34" s="48">
        <v>15.797625419999999</v>
      </c>
      <c r="J34" s="48"/>
      <c r="K34" s="427" t="s">
        <v>160</v>
      </c>
      <c r="L34" s="48">
        <v>3.2305118300000002</v>
      </c>
      <c r="M34" s="48">
        <v>2.5230348399999998</v>
      </c>
      <c r="N34" s="48">
        <v>3.0781209600000001</v>
      </c>
    </row>
    <row r="35" spans="1:14" x14ac:dyDescent="0.25">
      <c r="A35" s="427" t="s">
        <v>66</v>
      </c>
      <c r="B35" s="48">
        <v>66.152622909999991</v>
      </c>
      <c r="C35" s="48">
        <v>76.39029051</v>
      </c>
      <c r="D35" s="48">
        <v>85.159500130000097</v>
      </c>
      <c r="E35" s="48"/>
      <c r="F35" s="427" t="s">
        <v>173</v>
      </c>
      <c r="G35" s="48">
        <v>26.78380134</v>
      </c>
      <c r="H35" s="48">
        <v>27.988800789999999</v>
      </c>
      <c r="I35" s="48">
        <v>15.550388079999999</v>
      </c>
      <c r="J35" s="48"/>
      <c r="K35" s="427" t="s">
        <v>206</v>
      </c>
      <c r="L35" s="48">
        <v>4.9639872699999996</v>
      </c>
      <c r="M35" s="48">
        <v>2.96842038</v>
      </c>
      <c r="N35" s="48">
        <v>3.0140014100000001</v>
      </c>
    </row>
    <row r="36" spans="1:14" x14ac:dyDescent="0.25">
      <c r="A36" s="427" t="s">
        <v>176</v>
      </c>
      <c r="B36" s="48">
        <v>79.384081719999998</v>
      </c>
      <c r="C36" s="48">
        <v>86.101269849999795</v>
      </c>
      <c r="D36" s="48">
        <v>84.080351200000294</v>
      </c>
      <c r="E36" s="48"/>
      <c r="F36" s="427" t="s">
        <v>11</v>
      </c>
      <c r="G36" s="48">
        <v>21.69149973</v>
      </c>
      <c r="H36" s="48">
        <v>28.153625899999998</v>
      </c>
      <c r="I36" s="48">
        <v>14.92813864</v>
      </c>
      <c r="J36" s="48"/>
      <c r="K36" s="427" t="s">
        <v>102</v>
      </c>
      <c r="L36" s="48">
        <v>2.50035659</v>
      </c>
      <c r="M36" s="48">
        <v>4.9822884000000007</v>
      </c>
      <c r="N36" s="48">
        <v>2.8752142000000003</v>
      </c>
    </row>
    <row r="37" spans="1:14" x14ac:dyDescent="0.25">
      <c r="A37" s="427" t="s">
        <v>96</v>
      </c>
      <c r="B37" s="48">
        <v>74.152583469999996</v>
      </c>
      <c r="C37" s="48">
        <v>92.65171088999989</v>
      </c>
      <c r="D37" s="48">
        <v>83.213088580000004</v>
      </c>
      <c r="E37" s="48"/>
      <c r="F37" s="427" t="s">
        <v>158</v>
      </c>
      <c r="G37" s="48">
        <v>36.046353420000003</v>
      </c>
      <c r="H37" s="48">
        <v>20.638490579999999</v>
      </c>
      <c r="I37" s="48">
        <v>13.38937078</v>
      </c>
      <c r="J37" s="48"/>
      <c r="K37" s="427" t="s">
        <v>135</v>
      </c>
      <c r="L37" s="48">
        <v>10.80893339</v>
      </c>
      <c r="M37" s="48">
        <v>4.3597149100000001</v>
      </c>
      <c r="N37" s="48">
        <v>2.8036436299999998</v>
      </c>
    </row>
    <row r="38" spans="1:14" x14ac:dyDescent="0.25">
      <c r="A38" s="427" t="s">
        <v>101</v>
      </c>
      <c r="B38" s="48">
        <v>93.85071121</v>
      </c>
      <c r="C38" s="48">
        <v>78.221952829999992</v>
      </c>
      <c r="D38" s="48">
        <v>79.645447509999897</v>
      </c>
      <c r="E38" s="48"/>
      <c r="F38" s="427" t="s">
        <v>102</v>
      </c>
      <c r="G38" s="48">
        <v>7.3133286399999999</v>
      </c>
      <c r="H38" s="48">
        <v>6.2456636699999999</v>
      </c>
      <c r="I38" s="48">
        <v>13.356664179999999</v>
      </c>
      <c r="J38" s="48"/>
      <c r="K38" s="427" t="s">
        <v>156</v>
      </c>
      <c r="L38" s="48">
        <v>1.2089447499999999</v>
      </c>
      <c r="M38" s="48">
        <v>1.61345882</v>
      </c>
      <c r="N38" s="48">
        <v>2.69361059</v>
      </c>
    </row>
    <row r="39" spans="1:14" x14ac:dyDescent="0.25">
      <c r="A39" s="427" t="s">
        <v>62</v>
      </c>
      <c r="B39" s="48">
        <v>83.169624849999991</v>
      </c>
      <c r="C39" s="48">
        <v>80.394310979999901</v>
      </c>
      <c r="D39" s="48">
        <v>79.392325010000093</v>
      </c>
      <c r="E39" s="48"/>
      <c r="F39" s="427" t="s">
        <v>30</v>
      </c>
      <c r="G39" s="48">
        <v>13.0402416</v>
      </c>
      <c r="H39" s="48">
        <v>12.589610519999999</v>
      </c>
      <c r="I39" s="48">
        <v>12.600758109999999</v>
      </c>
      <c r="J39" s="48"/>
      <c r="K39" s="427" t="s">
        <v>134</v>
      </c>
      <c r="L39" s="48">
        <v>1.9530071599999999</v>
      </c>
      <c r="M39" s="48">
        <v>2.8034094999999999</v>
      </c>
      <c r="N39" s="48">
        <v>2.4377302999999997</v>
      </c>
    </row>
    <row r="40" spans="1:14" x14ac:dyDescent="0.25">
      <c r="A40" s="427" t="s">
        <v>192</v>
      </c>
      <c r="B40" s="48">
        <v>75.6943148000001</v>
      </c>
      <c r="C40" s="48">
        <v>76.217122860000003</v>
      </c>
      <c r="D40" s="48">
        <v>76.942062700000193</v>
      </c>
      <c r="E40" s="48"/>
      <c r="F40" s="427" t="s">
        <v>140</v>
      </c>
      <c r="G40" s="48">
        <v>9.7014421399999886</v>
      </c>
      <c r="H40" s="48">
        <v>12.756809310000001</v>
      </c>
      <c r="I40" s="48">
        <v>12.53664635</v>
      </c>
      <c r="J40" s="48"/>
      <c r="K40" s="427" t="s">
        <v>212</v>
      </c>
      <c r="L40" s="48">
        <v>2.0507148500000003</v>
      </c>
      <c r="M40" s="48">
        <v>1.4994698899999999</v>
      </c>
      <c r="N40" s="48">
        <v>2.27062981</v>
      </c>
    </row>
    <row r="41" spans="1:14" x14ac:dyDescent="0.25">
      <c r="A41" s="427" t="s">
        <v>31</v>
      </c>
      <c r="B41" s="48">
        <v>76.754448760000002</v>
      </c>
      <c r="C41" s="48">
        <v>49.554677399999996</v>
      </c>
      <c r="D41" s="48">
        <v>76.894399309999997</v>
      </c>
      <c r="E41" s="48"/>
      <c r="F41" s="427" t="s">
        <v>180</v>
      </c>
      <c r="G41" s="48">
        <v>14.46070323</v>
      </c>
      <c r="H41" s="48">
        <v>26.226737800000002</v>
      </c>
      <c r="I41" s="48">
        <v>12.232453679999999</v>
      </c>
      <c r="J41" s="48"/>
      <c r="K41" s="427" t="s">
        <v>180</v>
      </c>
      <c r="L41" s="48">
        <v>2.62320317</v>
      </c>
      <c r="M41" s="48">
        <v>2.6941329000000001</v>
      </c>
      <c r="N41" s="48">
        <v>2.1985012599999996</v>
      </c>
    </row>
    <row r="42" spans="1:14" x14ac:dyDescent="0.25">
      <c r="A42" s="427" t="s">
        <v>198</v>
      </c>
      <c r="B42" s="48">
        <v>65.901681629999999</v>
      </c>
      <c r="C42" s="48">
        <v>66.829488530000006</v>
      </c>
      <c r="D42" s="48">
        <v>75.678727289999898</v>
      </c>
      <c r="E42" s="48"/>
      <c r="F42" s="427" t="s">
        <v>81</v>
      </c>
      <c r="G42" s="48">
        <v>9.6172911800000005</v>
      </c>
      <c r="H42" s="48">
        <v>23.032438940000002</v>
      </c>
      <c r="I42" s="48">
        <v>11.696697869999999</v>
      </c>
      <c r="J42" s="48"/>
      <c r="K42" s="427" t="s">
        <v>146</v>
      </c>
      <c r="L42" s="48">
        <v>5.7310636100000005</v>
      </c>
      <c r="M42" s="48">
        <v>6.8996150499999995</v>
      </c>
      <c r="N42" s="48">
        <v>2.1859838599999999</v>
      </c>
    </row>
    <row r="43" spans="1:14" x14ac:dyDescent="0.25">
      <c r="A43" s="427" t="s">
        <v>151</v>
      </c>
      <c r="B43" s="48">
        <v>70.615539060000003</v>
      </c>
      <c r="C43" s="48">
        <v>83.224820700000009</v>
      </c>
      <c r="D43" s="48">
        <v>74.897592029999998</v>
      </c>
      <c r="E43" s="48"/>
      <c r="F43" s="427" t="s">
        <v>162</v>
      </c>
      <c r="G43" s="48">
        <v>15.399078339999999</v>
      </c>
      <c r="H43" s="48">
        <v>23.974041159999999</v>
      </c>
      <c r="I43" s="48">
        <v>10.622562869999999</v>
      </c>
      <c r="J43" s="48"/>
      <c r="K43" s="427" t="s">
        <v>172</v>
      </c>
      <c r="L43" s="48">
        <v>3.2522434800000002</v>
      </c>
      <c r="M43" s="48">
        <v>2.2622843500000003</v>
      </c>
      <c r="N43" s="48">
        <v>2.1225581400000002</v>
      </c>
    </row>
    <row r="44" spans="1:14" x14ac:dyDescent="0.25">
      <c r="A44" s="427" t="s">
        <v>125</v>
      </c>
      <c r="B44" s="48">
        <v>57.838202209999999</v>
      </c>
      <c r="C44" s="48">
        <v>68.524716020000099</v>
      </c>
      <c r="D44" s="48">
        <v>70.515382740000092</v>
      </c>
      <c r="E44" s="48"/>
      <c r="F44" s="427" t="s">
        <v>68</v>
      </c>
      <c r="G44" s="48">
        <v>1.7593912700000001</v>
      </c>
      <c r="H44" s="48">
        <v>0</v>
      </c>
      <c r="I44" s="48">
        <v>10.456234650000001</v>
      </c>
      <c r="J44" s="48"/>
      <c r="K44" s="427" t="s">
        <v>175</v>
      </c>
      <c r="L44" s="48">
        <v>2.8878707400000003</v>
      </c>
      <c r="M44" s="48">
        <v>6.3137086099999999</v>
      </c>
      <c r="N44" s="48">
        <v>2.0794549600000001</v>
      </c>
    </row>
    <row r="45" spans="1:14" x14ac:dyDescent="0.25">
      <c r="A45" s="427" t="s">
        <v>173</v>
      </c>
      <c r="B45" s="48">
        <v>59.906251659999995</v>
      </c>
      <c r="C45" s="48">
        <v>67.600030700000005</v>
      </c>
      <c r="D45" s="48">
        <v>66.301269229999903</v>
      </c>
      <c r="E45" s="48"/>
      <c r="F45" s="427" t="s">
        <v>145</v>
      </c>
      <c r="G45" s="48">
        <v>2.13551175</v>
      </c>
      <c r="H45" s="48">
        <v>10.53386242</v>
      </c>
      <c r="I45" s="48">
        <v>10.443627939999999</v>
      </c>
      <c r="J45" s="48"/>
      <c r="K45" s="427" t="s">
        <v>161</v>
      </c>
      <c r="L45" s="48">
        <v>0.93716778000000001</v>
      </c>
      <c r="M45" s="48">
        <v>1.89572019</v>
      </c>
      <c r="N45" s="48">
        <v>2.0420013699999999</v>
      </c>
    </row>
    <row r="46" spans="1:14" x14ac:dyDescent="0.25">
      <c r="A46" s="427" t="s">
        <v>158</v>
      </c>
      <c r="B46" s="48">
        <v>66.200544360000109</v>
      </c>
      <c r="C46" s="48">
        <v>66.643174679999902</v>
      </c>
      <c r="D46" s="48">
        <v>65.804252270000191</v>
      </c>
      <c r="E46" s="48"/>
      <c r="F46" s="427" t="s">
        <v>211</v>
      </c>
      <c r="G46" s="48">
        <v>9.3189799999999993E-3</v>
      </c>
      <c r="H46" s="48">
        <v>5.6646199999999996E-3</v>
      </c>
      <c r="I46" s="48">
        <v>8.9439896300000008</v>
      </c>
      <c r="J46" s="48"/>
      <c r="K46" s="427" t="s">
        <v>113</v>
      </c>
      <c r="L46" s="48">
        <v>0.38426379999999999</v>
      </c>
      <c r="M46" s="48">
        <v>0.69987900000000003</v>
      </c>
      <c r="N46" s="48">
        <v>1.9292502300000001</v>
      </c>
    </row>
    <row r="47" spans="1:14" x14ac:dyDescent="0.25">
      <c r="A47" s="427" t="s">
        <v>156</v>
      </c>
      <c r="B47" s="48">
        <v>49.200763689999995</v>
      </c>
      <c r="C47" s="48">
        <v>39.173236259999996</v>
      </c>
      <c r="D47" s="48">
        <v>61.4821551100001</v>
      </c>
      <c r="E47" s="48"/>
      <c r="F47" s="427" t="s">
        <v>182</v>
      </c>
      <c r="G47" s="48">
        <v>9.6470401700000004</v>
      </c>
      <c r="H47" s="48">
        <v>28.82649786</v>
      </c>
      <c r="I47" s="48">
        <v>8.6870106899999815</v>
      </c>
      <c r="J47" s="48"/>
      <c r="K47" s="427" t="s">
        <v>205</v>
      </c>
      <c r="L47" s="48">
        <v>2.08932567</v>
      </c>
      <c r="M47" s="48">
        <v>2.8315611199999999</v>
      </c>
      <c r="N47" s="48">
        <v>1.8220586699999999</v>
      </c>
    </row>
    <row r="48" spans="1:14" x14ac:dyDescent="0.25">
      <c r="A48" s="427" t="s">
        <v>166</v>
      </c>
      <c r="B48" s="48">
        <v>60.073576850000002</v>
      </c>
      <c r="C48" s="48">
        <v>62.116320430000002</v>
      </c>
      <c r="D48" s="48">
        <v>61.089272179999902</v>
      </c>
      <c r="E48" s="48"/>
      <c r="F48" s="427" t="s">
        <v>88</v>
      </c>
      <c r="G48" s="48">
        <v>32.102999099999998</v>
      </c>
      <c r="H48" s="48">
        <v>42.054011270000004</v>
      </c>
      <c r="I48" s="48">
        <v>8.5640020000000003</v>
      </c>
      <c r="J48" s="48"/>
      <c r="K48" s="427" t="s">
        <v>209</v>
      </c>
      <c r="L48" s="48">
        <v>1.30855302</v>
      </c>
      <c r="M48" s="48">
        <v>2.07489028</v>
      </c>
      <c r="N48" s="48">
        <v>1.7737871200000002</v>
      </c>
    </row>
    <row r="49" spans="1:14" x14ac:dyDescent="0.25">
      <c r="A49" s="427" t="s">
        <v>21</v>
      </c>
      <c r="B49" s="48">
        <v>51.47769375</v>
      </c>
      <c r="C49" s="48">
        <v>73.864236879999993</v>
      </c>
      <c r="D49" s="48">
        <v>61.006081159999901</v>
      </c>
      <c r="E49" s="48"/>
      <c r="F49" s="427" t="s">
        <v>106</v>
      </c>
      <c r="G49" s="48">
        <v>5.2565069000000006</v>
      </c>
      <c r="H49" s="48">
        <v>4.7295855099999997</v>
      </c>
      <c r="I49" s="48">
        <v>7.7965322800000001</v>
      </c>
      <c r="J49" s="48"/>
      <c r="K49" s="427" t="s">
        <v>71</v>
      </c>
      <c r="L49" s="48">
        <v>0.36829878999999999</v>
      </c>
      <c r="M49" s="48">
        <v>4.2924222400000005</v>
      </c>
      <c r="N49" s="48">
        <v>1.74133132</v>
      </c>
    </row>
    <row r="50" spans="1:14" x14ac:dyDescent="0.25">
      <c r="A50" s="427" t="s">
        <v>140</v>
      </c>
      <c r="B50" s="48">
        <v>26.858533739999903</v>
      </c>
      <c r="C50" s="48">
        <v>38.851670489999897</v>
      </c>
      <c r="D50" s="48">
        <v>60.562847979999994</v>
      </c>
      <c r="E50" s="48"/>
      <c r="F50" s="427" t="s">
        <v>100</v>
      </c>
      <c r="G50" s="48">
        <v>10.447691460000001</v>
      </c>
      <c r="H50" s="48">
        <v>10.20530091</v>
      </c>
      <c r="I50" s="48">
        <v>7.3155152499999998</v>
      </c>
      <c r="J50" s="48"/>
      <c r="K50" s="427" t="s">
        <v>195</v>
      </c>
      <c r="L50" s="48">
        <v>2.7071183100000002</v>
      </c>
      <c r="M50" s="48">
        <v>1.1311047599999999</v>
      </c>
      <c r="N50" s="48">
        <v>1.6842994199999999</v>
      </c>
    </row>
    <row r="51" spans="1:14" x14ac:dyDescent="0.25">
      <c r="A51" s="427" t="s">
        <v>20</v>
      </c>
      <c r="B51" s="48">
        <v>65.508795350000199</v>
      </c>
      <c r="C51" s="48">
        <v>54.611762069999905</v>
      </c>
      <c r="D51" s="48">
        <v>59.90589937</v>
      </c>
      <c r="E51" s="48"/>
      <c r="F51" s="427" t="s">
        <v>134</v>
      </c>
      <c r="G51" s="48">
        <v>13.55486971</v>
      </c>
      <c r="H51" s="48">
        <v>20.88639843</v>
      </c>
      <c r="I51" s="48">
        <v>7.0992816300000001</v>
      </c>
      <c r="J51" s="48"/>
      <c r="K51" s="427" t="s">
        <v>127</v>
      </c>
      <c r="L51" s="48">
        <v>2.5315902700000001</v>
      </c>
      <c r="M51" s="48">
        <v>3.1059696400000001</v>
      </c>
      <c r="N51" s="48">
        <v>1.5671796299999998</v>
      </c>
    </row>
    <row r="52" spans="1:14" x14ac:dyDescent="0.25">
      <c r="A52" s="427" t="s">
        <v>202</v>
      </c>
      <c r="B52" s="48">
        <v>45.632568569999798</v>
      </c>
      <c r="C52" s="48">
        <v>62.3866683299999</v>
      </c>
      <c r="D52" s="48">
        <v>59.038110039999999</v>
      </c>
      <c r="E52" s="48"/>
      <c r="F52" s="427" t="s">
        <v>29</v>
      </c>
      <c r="G52" s="48">
        <v>9.7212249899999996</v>
      </c>
      <c r="H52" s="48">
        <v>11.886161550000001</v>
      </c>
      <c r="I52" s="48">
        <v>6.9995630100000001</v>
      </c>
      <c r="J52" s="48"/>
      <c r="K52" s="427" t="s">
        <v>174</v>
      </c>
      <c r="L52" s="48">
        <v>1.05639398</v>
      </c>
      <c r="M52" s="48">
        <v>1.67121001</v>
      </c>
      <c r="N52" s="48">
        <v>1.3658919599999999</v>
      </c>
    </row>
    <row r="53" spans="1:14" x14ac:dyDescent="0.25">
      <c r="A53" s="427" t="s">
        <v>119</v>
      </c>
      <c r="B53" s="48">
        <v>66.467958939999903</v>
      </c>
      <c r="C53" s="48">
        <v>59.762642549999804</v>
      </c>
      <c r="D53" s="48">
        <v>56.154190850000099</v>
      </c>
      <c r="E53" s="48"/>
      <c r="F53" s="427" t="s">
        <v>142</v>
      </c>
      <c r="G53" s="48">
        <v>5.2599889000000006</v>
      </c>
      <c r="H53" s="48">
        <v>49.55305671</v>
      </c>
      <c r="I53" s="48">
        <v>6.7323117699999999</v>
      </c>
      <c r="J53" s="48"/>
      <c r="K53" s="427" t="s">
        <v>150</v>
      </c>
      <c r="L53" s="48">
        <v>1.87179527</v>
      </c>
      <c r="M53" s="48">
        <v>3.2428823499999999</v>
      </c>
      <c r="N53" s="48">
        <v>1.3455196299999999</v>
      </c>
    </row>
    <row r="54" spans="1:14" x14ac:dyDescent="0.25">
      <c r="A54" s="427" t="s">
        <v>172</v>
      </c>
      <c r="B54" s="48">
        <v>48.489069599999894</v>
      </c>
      <c r="C54" s="48">
        <v>35.706534720000001</v>
      </c>
      <c r="D54" s="48">
        <v>55.266407829999999</v>
      </c>
      <c r="E54" s="48"/>
      <c r="F54" s="427" t="s">
        <v>202</v>
      </c>
      <c r="G54" s="48">
        <v>46.713442860000001</v>
      </c>
      <c r="H54" s="48">
        <v>12.11301943</v>
      </c>
      <c r="I54" s="48">
        <v>6.4455555799999997</v>
      </c>
      <c r="J54" s="48"/>
      <c r="K54" s="427" t="s">
        <v>79</v>
      </c>
      <c r="L54" s="48">
        <v>0.25220529000000003</v>
      </c>
      <c r="M54" s="48">
        <v>0.37307176000000003</v>
      </c>
      <c r="N54" s="48">
        <v>1.3287013999999999</v>
      </c>
    </row>
    <row r="55" spans="1:14" x14ac:dyDescent="0.25">
      <c r="A55" s="427" t="s">
        <v>22</v>
      </c>
      <c r="B55" s="48">
        <v>45.252167130000004</v>
      </c>
      <c r="C55" s="48">
        <v>48.673159090000098</v>
      </c>
      <c r="D55" s="48">
        <v>54.477003840000002</v>
      </c>
      <c r="E55" s="48"/>
      <c r="F55" s="427" t="s">
        <v>215</v>
      </c>
      <c r="G55" s="48">
        <v>5.1836505900000001</v>
      </c>
      <c r="H55" s="48">
        <v>8.7897693100000005</v>
      </c>
      <c r="I55" s="48">
        <v>6.4275310999999995</v>
      </c>
      <c r="J55" s="48"/>
      <c r="K55" s="427" t="s">
        <v>159</v>
      </c>
      <c r="L55" s="48">
        <v>2.1257488599999999</v>
      </c>
      <c r="M55" s="48">
        <v>3.43922091</v>
      </c>
      <c r="N55" s="48">
        <v>1.1991391499999999</v>
      </c>
    </row>
    <row r="56" spans="1:14" x14ac:dyDescent="0.25">
      <c r="A56" s="427" t="s">
        <v>200</v>
      </c>
      <c r="B56" s="48">
        <v>44.254625390000001</v>
      </c>
      <c r="C56" s="48">
        <v>54.1651105299999</v>
      </c>
      <c r="D56" s="48">
        <v>53.177612940000103</v>
      </c>
      <c r="E56" s="48"/>
      <c r="F56" s="427" t="s">
        <v>384</v>
      </c>
      <c r="G56" s="48">
        <v>1.36714918</v>
      </c>
      <c r="H56" s="48">
        <v>15.91714318</v>
      </c>
      <c r="I56" s="48">
        <v>6.3523701299999997</v>
      </c>
      <c r="J56" s="48"/>
      <c r="K56" s="427" t="s">
        <v>143</v>
      </c>
      <c r="L56" s="48">
        <v>0.91651981999999999</v>
      </c>
      <c r="M56" s="48">
        <v>1.06698173</v>
      </c>
      <c r="N56" s="48">
        <v>1.1737550800000001</v>
      </c>
    </row>
    <row r="57" spans="1:14" x14ac:dyDescent="0.25">
      <c r="A57" s="427" t="s">
        <v>127</v>
      </c>
      <c r="B57" s="48">
        <v>62.123863039999996</v>
      </c>
      <c r="C57" s="48">
        <v>60.935147979999996</v>
      </c>
      <c r="D57" s="48">
        <v>53.1299116799999</v>
      </c>
      <c r="E57" s="48"/>
      <c r="F57" s="427" t="s">
        <v>152</v>
      </c>
      <c r="G57" s="48">
        <v>7.62377854</v>
      </c>
      <c r="H57" s="48">
        <v>0.35321104999999997</v>
      </c>
      <c r="I57" s="48">
        <v>6.3522589699999994</v>
      </c>
      <c r="J57" s="48"/>
      <c r="K57" s="427" t="s">
        <v>168</v>
      </c>
      <c r="L57" s="48">
        <v>0.25818888000000001</v>
      </c>
      <c r="M57" s="48">
        <v>0.27340690999999995</v>
      </c>
      <c r="N57" s="48">
        <v>1.0582436399999999</v>
      </c>
    </row>
    <row r="58" spans="1:14" x14ac:dyDescent="0.25">
      <c r="A58" s="427" t="s">
        <v>207</v>
      </c>
      <c r="B58" s="48">
        <v>43.315487529999999</v>
      </c>
      <c r="C58" s="48">
        <v>38.462059689999997</v>
      </c>
      <c r="D58" s="48">
        <v>50.278564359999798</v>
      </c>
      <c r="E58" s="48"/>
      <c r="F58" s="427" t="s">
        <v>156</v>
      </c>
      <c r="G58" s="48">
        <v>262.49691840999998</v>
      </c>
      <c r="H58" s="48">
        <v>26.952542449999999</v>
      </c>
      <c r="I58" s="48">
        <v>6.0277886699999996</v>
      </c>
      <c r="J58" s="48"/>
      <c r="K58" s="427" t="s">
        <v>117</v>
      </c>
      <c r="L58" s="48">
        <v>0.90668730000000008</v>
      </c>
      <c r="M58" s="48">
        <v>0.19367676</v>
      </c>
      <c r="N58" s="48">
        <v>0.90377327000000007</v>
      </c>
    </row>
    <row r="59" spans="1:14" x14ac:dyDescent="0.25">
      <c r="A59" s="427" t="s">
        <v>5</v>
      </c>
      <c r="B59" s="48">
        <v>79.711501639999994</v>
      </c>
      <c r="C59" s="48">
        <v>58.259301030000003</v>
      </c>
      <c r="D59" s="48">
        <v>50.239828430000003</v>
      </c>
      <c r="E59" s="48"/>
      <c r="F59" s="427" t="s">
        <v>208</v>
      </c>
      <c r="G59" s="48">
        <v>10.14901448</v>
      </c>
      <c r="H59" s="48">
        <v>16.058600339999998</v>
      </c>
      <c r="I59" s="48">
        <v>6.0238324400000094</v>
      </c>
      <c r="J59" s="48"/>
      <c r="K59" s="427" t="s">
        <v>89</v>
      </c>
      <c r="L59" s="48">
        <v>1.15928045</v>
      </c>
      <c r="M59" s="48">
        <v>0.40887146000000002</v>
      </c>
      <c r="N59" s="48">
        <v>0.79144327000000003</v>
      </c>
    </row>
    <row r="60" spans="1:14" x14ac:dyDescent="0.25">
      <c r="A60" s="427" t="s">
        <v>165</v>
      </c>
      <c r="B60" s="48">
        <v>50.995694010000001</v>
      </c>
      <c r="C60" s="48">
        <v>59.303187700000102</v>
      </c>
      <c r="D60" s="48">
        <v>50.189236869999995</v>
      </c>
      <c r="E60" s="48"/>
      <c r="F60" s="427" t="s">
        <v>160</v>
      </c>
      <c r="G60" s="48">
        <v>5.8128436600000004</v>
      </c>
      <c r="H60" s="48">
        <v>7.7695886700000001</v>
      </c>
      <c r="I60" s="48">
        <v>5.5349135399999998</v>
      </c>
      <c r="J60" s="48"/>
      <c r="K60" s="427" t="s">
        <v>199</v>
      </c>
      <c r="L60" s="48">
        <v>0.69861941999999999</v>
      </c>
      <c r="M60" s="48">
        <v>2.17984694</v>
      </c>
      <c r="N60" s="48">
        <v>0.75189638999999997</v>
      </c>
    </row>
    <row r="61" spans="1:14" x14ac:dyDescent="0.25">
      <c r="A61" s="427" t="s">
        <v>157</v>
      </c>
      <c r="B61" s="48">
        <v>69.894819619999907</v>
      </c>
      <c r="C61" s="48">
        <v>62.360585149999999</v>
      </c>
      <c r="D61" s="48">
        <v>49.61821028</v>
      </c>
      <c r="E61" s="48"/>
      <c r="F61" s="427" t="s">
        <v>135</v>
      </c>
      <c r="G61" s="48">
        <v>34.236220070000002</v>
      </c>
      <c r="H61" s="48">
        <v>15.2328765</v>
      </c>
      <c r="I61" s="48">
        <v>5.2356546799999997</v>
      </c>
      <c r="J61" s="48"/>
      <c r="K61" s="427" t="s">
        <v>170</v>
      </c>
      <c r="L61" s="48">
        <v>0.16406413</v>
      </c>
      <c r="M61" s="48">
        <v>0.42571870000000001</v>
      </c>
      <c r="N61" s="48">
        <v>0.65181285999999994</v>
      </c>
    </row>
    <row r="62" spans="1:14" x14ac:dyDescent="0.25">
      <c r="A62" s="427" t="s">
        <v>131</v>
      </c>
      <c r="B62" s="48">
        <v>61.946114639999998</v>
      </c>
      <c r="C62" s="48">
        <v>52.381049369999999</v>
      </c>
      <c r="D62" s="48">
        <v>49.301192060000005</v>
      </c>
      <c r="E62" s="48"/>
      <c r="F62" s="427" t="s">
        <v>24</v>
      </c>
      <c r="G62" s="48">
        <v>1.6532177399999999</v>
      </c>
      <c r="H62" s="48">
        <v>0.68996696000000002</v>
      </c>
      <c r="I62" s="48">
        <v>5.1591397599999995</v>
      </c>
      <c r="J62" s="48"/>
      <c r="K62" s="427" t="s">
        <v>88</v>
      </c>
      <c r="L62" s="48">
        <v>0.10699865</v>
      </c>
      <c r="M62" s="48">
        <v>2.4613740000000002E-2</v>
      </c>
      <c r="N62" s="48">
        <v>0.63009258999999995</v>
      </c>
    </row>
    <row r="63" spans="1:14" x14ac:dyDescent="0.25">
      <c r="A63" s="427" t="s">
        <v>214</v>
      </c>
      <c r="B63" s="48">
        <v>44.806720589999898</v>
      </c>
      <c r="C63" s="48">
        <v>47.525257069999903</v>
      </c>
      <c r="D63" s="48">
        <v>49.244729809999896</v>
      </c>
      <c r="E63" s="48"/>
      <c r="F63" s="427" t="s">
        <v>90</v>
      </c>
      <c r="G63" s="48">
        <v>3.1202568199999998</v>
      </c>
      <c r="H63" s="48">
        <v>3.6724788099999999</v>
      </c>
      <c r="I63" s="48">
        <v>4.6452543400000001</v>
      </c>
      <c r="J63" s="48"/>
      <c r="K63" s="427" t="s">
        <v>191</v>
      </c>
      <c r="L63" s="48">
        <v>0.65655207999999998</v>
      </c>
      <c r="M63" s="48">
        <v>0.26445690000000005</v>
      </c>
      <c r="N63" s="48">
        <v>0.62053818000000005</v>
      </c>
    </row>
    <row r="64" spans="1:14" x14ac:dyDescent="0.25">
      <c r="A64" s="427" t="s">
        <v>76</v>
      </c>
      <c r="B64" s="48">
        <v>52.8321719099999</v>
      </c>
      <c r="C64" s="48">
        <v>38.225962700000004</v>
      </c>
      <c r="D64" s="48">
        <v>46.775388920000005</v>
      </c>
      <c r="E64" s="48"/>
      <c r="F64" s="427" t="s">
        <v>200</v>
      </c>
      <c r="G64" s="48">
        <v>0.67329998999999996</v>
      </c>
      <c r="H64" s="48">
        <v>3.9110258500000001</v>
      </c>
      <c r="I64" s="48">
        <v>4.6009531399999997</v>
      </c>
      <c r="J64" s="48"/>
      <c r="K64" s="427" t="s">
        <v>83</v>
      </c>
      <c r="L64" s="48">
        <v>2.9877575800000002</v>
      </c>
      <c r="M64" s="48">
        <v>0.95078658999999999</v>
      </c>
      <c r="N64" s="48">
        <v>0.61735359999999995</v>
      </c>
    </row>
    <row r="65" spans="1:14" x14ac:dyDescent="0.25">
      <c r="A65" s="427" t="s">
        <v>182</v>
      </c>
      <c r="B65" s="48">
        <v>53.299919250000002</v>
      </c>
      <c r="C65" s="48">
        <v>48.127157240000003</v>
      </c>
      <c r="D65" s="48">
        <v>46.357419530000001</v>
      </c>
      <c r="E65" s="48"/>
      <c r="F65" s="427" t="s">
        <v>171</v>
      </c>
      <c r="G65" s="48">
        <v>47.791269770000007</v>
      </c>
      <c r="H65" s="48">
        <v>2.7648644199999999</v>
      </c>
      <c r="I65" s="48">
        <v>4.5482083600000003</v>
      </c>
      <c r="J65" s="48"/>
      <c r="K65" s="427" t="s">
        <v>215</v>
      </c>
      <c r="L65" s="48">
        <v>0.18753407</v>
      </c>
      <c r="M65" s="48">
        <v>0.70772268000000005</v>
      </c>
      <c r="N65" s="48">
        <v>0.60344361000000002</v>
      </c>
    </row>
    <row r="66" spans="1:14" x14ac:dyDescent="0.25">
      <c r="A66" s="427" t="s">
        <v>18</v>
      </c>
      <c r="B66" s="48">
        <v>45.701636440000101</v>
      </c>
      <c r="C66" s="48">
        <v>49.804109730000199</v>
      </c>
      <c r="D66" s="48">
        <v>46.115747970000101</v>
      </c>
      <c r="E66" s="48"/>
      <c r="F66" s="427" t="s">
        <v>5</v>
      </c>
      <c r="G66" s="48">
        <v>6.5644701100000002</v>
      </c>
      <c r="H66" s="48">
        <v>4.6707313399999997</v>
      </c>
      <c r="I66" s="48">
        <v>4.5462790199999992</v>
      </c>
      <c r="J66" s="48"/>
      <c r="K66" s="427" t="s">
        <v>154</v>
      </c>
      <c r="L66" s="48">
        <v>0.17326712999999999</v>
      </c>
      <c r="M66" s="48">
        <v>0.60137123000000003</v>
      </c>
      <c r="N66" s="48">
        <v>0.58827286999999995</v>
      </c>
    </row>
    <row r="67" spans="1:14" x14ac:dyDescent="0.25">
      <c r="A67" s="427" t="s">
        <v>79</v>
      </c>
      <c r="B67" s="48">
        <v>29.94506509</v>
      </c>
      <c r="C67" s="48">
        <v>43.632228759999997</v>
      </c>
      <c r="D67" s="48">
        <v>46.003342330000102</v>
      </c>
      <c r="E67" s="48"/>
      <c r="F67" s="427" t="s">
        <v>189</v>
      </c>
      <c r="G67" s="48">
        <v>15.032001380000001</v>
      </c>
      <c r="H67" s="48">
        <v>13.464178560000001</v>
      </c>
      <c r="I67" s="48">
        <v>4.4040965999999999</v>
      </c>
      <c r="J67" s="48"/>
      <c r="K67" s="427" t="s">
        <v>118</v>
      </c>
      <c r="L67" s="48">
        <v>0.24791848</v>
      </c>
      <c r="M67" s="48">
        <v>0.29222901000000001</v>
      </c>
      <c r="N67" s="48">
        <v>0.56499242000000005</v>
      </c>
    </row>
    <row r="68" spans="1:14" x14ac:dyDescent="0.25">
      <c r="A68" s="427" t="s">
        <v>17</v>
      </c>
      <c r="B68" s="48">
        <v>48.567330820000095</v>
      </c>
      <c r="C68" s="48">
        <v>49.603563529999896</v>
      </c>
      <c r="D68" s="48">
        <v>45.050117730000103</v>
      </c>
      <c r="E68" s="48"/>
      <c r="F68" s="427" t="s">
        <v>188</v>
      </c>
      <c r="G68" s="48">
        <v>5.0278773600000006</v>
      </c>
      <c r="H68" s="48">
        <v>3.0892502999999998</v>
      </c>
      <c r="I68" s="48">
        <v>4.2634392600000002</v>
      </c>
      <c r="J68" s="48"/>
      <c r="K68" s="427" t="s">
        <v>177</v>
      </c>
      <c r="L68" s="48">
        <v>0.56594756000000002</v>
      </c>
      <c r="M68" s="48">
        <v>0.66573914000000001</v>
      </c>
      <c r="N68" s="48">
        <v>0.53163802000000004</v>
      </c>
    </row>
    <row r="69" spans="1:14" x14ac:dyDescent="0.25">
      <c r="A69" s="427" t="s">
        <v>209</v>
      </c>
      <c r="B69" s="48">
        <v>43.762810009999903</v>
      </c>
      <c r="C69" s="48">
        <v>37.868840709999894</v>
      </c>
      <c r="D69" s="48">
        <v>44.519449510000001</v>
      </c>
      <c r="E69" s="48"/>
      <c r="F69" s="427" t="s">
        <v>112</v>
      </c>
      <c r="G69" s="48">
        <v>8.4460047300000003</v>
      </c>
      <c r="H69" s="48">
        <v>4.14553861</v>
      </c>
      <c r="I69" s="48">
        <v>4.2396063799999997</v>
      </c>
      <c r="J69" s="48"/>
      <c r="K69" s="427" t="s">
        <v>198</v>
      </c>
      <c r="L69" s="48">
        <v>0.52003771999999993</v>
      </c>
      <c r="M69" s="48">
        <v>1.3001393999999999</v>
      </c>
      <c r="N69" s="48">
        <v>0.53109389000000007</v>
      </c>
    </row>
    <row r="70" spans="1:14" x14ac:dyDescent="0.25">
      <c r="A70" s="427" t="s">
        <v>89</v>
      </c>
      <c r="B70" s="48">
        <v>46.944405750000001</v>
      </c>
      <c r="C70" s="48">
        <v>45.606200090000002</v>
      </c>
      <c r="D70" s="48">
        <v>43.771052859999998</v>
      </c>
      <c r="E70" s="48"/>
      <c r="F70" s="427" t="s">
        <v>113</v>
      </c>
      <c r="G70" s="48">
        <v>3.99282344</v>
      </c>
      <c r="H70" s="48">
        <v>2.08424743</v>
      </c>
      <c r="I70" s="48">
        <v>4.0967408499999998</v>
      </c>
      <c r="J70" s="48"/>
      <c r="K70" s="427" t="s">
        <v>141</v>
      </c>
      <c r="L70" s="48">
        <v>1.0582790000000002E-2</v>
      </c>
      <c r="M70" s="48">
        <v>0.36676038999999999</v>
      </c>
      <c r="N70" s="48">
        <v>0.50200228000000002</v>
      </c>
    </row>
    <row r="71" spans="1:14" x14ac:dyDescent="0.25">
      <c r="A71" s="427" t="s">
        <v>135</v>
      </c>
      <c r="B71" s="48">
        <v>41.540594220000202</v>
      </c>
      <c r="C71" s="48">
        <v>39.6620619199999</v>
      </c>
      <c r="D71" s="48">
        <v>41.513626159999902</v>
      </c>
      <c r="E71" s="48"/>
      <c r="F71" s="427" t="s">
        <v>195</v>
      </c>
      <c r="G71" s="48">
        <v>3.4260292999999997</v>
      </c>
      <c r="H71" s="48">
        <v>6.0024070999999992</v>
      </c>
      <c r="I71" s="48">
        <v>3.80982025</v>
      </c>
      <c r="J71" s="48"/>
      <c r="K71" s="427" t="s">
        <v>188</v>
      </c>
      <c r="L71" s="48">
        <v>0.48371936999999998</v>
      </c>
      <c r="M71" s="48">
        <v>0.99616182999999991</v>
      </c>
      <c r="N71" s="48">
        <v>0.48117757999999999</v>
      </c>
    </row>
    <row r="72" spans="1:14" x14ac:dyDescent="0.25">
      <c r="A72" s="427" t="s">
        <v>193</v>
      </c>
      <c r="B72" s="48">
        <v>38.562322909999999</v>
      </c>
      <c r="C72" s="48">
        <v>44.716627540000104</v>
      </c>
      <c r="D72" s="48">
        <v>41.032485929999901</v>
      </c>
      <c r="E72" s="48"/>
      <c r="F72" s="427" t="s">
        <v>150</v>
      </c>
      <c r="G72" s="48">
        <v>3.7371660699999998</v>
      </c>
      <c r="H72" s="48">
        <v>46.243964659999996</v>
      </c>
      <c r="I72" s="48">
        <v>3.7346749700000004</v>
      </c>
      <c r="J72" s="48"/>
      <c r="K72" s="427" t="s">
        <v>82</v>
      </c>
      <c r="L72" s="48">
        <v>0.11134792</v>
      </c>
      <c r="M72" s="48">
        <v>0.16024556000000001</v>
      </c>
      <c r="N72" s="48">
        <v>0.47307263999999999</v>
      </c>
    </row>
    <row r="73" spans="1:14" x14ac:dyDescent="0.25">
      <c r="A73" s="427" t="s">
        <v>74</v>
      </c>
      <c r="B73" s="48">
        <v>35.731864059999999</v>
      </c>
      <c r="C73" s="48">
        <v>36.050605410000102</v>
      </c>
      <c r="D73" s="48">
        <v>40.263610659999998</v>
      </c>
      <c r="E73" s="48"/>
      <c r="F73" s="427" t="s">
        <v>58</v>
      </c>
      <c r="G73" s="48">
        <v>1.6604278899999998</v>
      </c>
      <c r="H73" s="48">
        <v>5.2408401200000005</v>
      </c>
      <c r="I73" s="48">
        <v>3.7030160400000001</v>
      </c>
      <c r="J73" s="48"/>
      <c r="K73" s="427" t="s">
        <v>155</v>
      </c>
      <c r="L73" s="48">
        <v>0.19168411999999999</v>
      </c>
      <c r="M73" s="48">
        <v>7.5810580000000002E-2</v>
      </c>
      <c r="N73" s="48">
        <v>0.45323079999999999</v>
      </c>
    </row>
    <row r="74" spans="1:14" x14ac:dyDescent="0.25">
      <c r="A74" s="427" t="s">
        <v>133</v>
      </c>
      <c r="B74" s="48">
        <v>37.229981170000002</v>
      </c>
      <c r="C74" s="48">
        <v>39.101172800000001</v>
      </c>
      <c r="D74" s="48">
        <v>39.688859239999999</v>
      </c>
      <c r="E74" s="48"/>
      <c r="F74" s="427" t="s">
        <v>144</v>
      </c>
      <c r="G74" s="48">
        <v>5.1162288899999995</v>
      </c>
      <c r="H74" s="48">
        <v>53.788785329999996</v>
      </c>
      <c r="I74" s="48">
        <v>3.4907752999999997</v>
      </c>
      <c r="J74" s="48"/>
      <c r="K74" s="427" t="s">
        <v>190</v>
      </c>
      <c r="L74" s="48">
        <v>1.4312794799999999</v>
      </c>
      <c r="M74" s="48">
        <v>0.56471797999999995</v>
      </c>
      <c r="N74" s="48">
        <v>0.44461538</v>
      </c>
    </row>
    <row r="75" spans="1:14" x14ac:dyDescent="0.25">
      <c r="A75" s="427" t="s">
        <v>162</v>
      </c>
      <c r="B75" s="48">
        <v>39.582750950000005</v>
      </c>
      <c r="C75" s="48">
        <v>49.141876549999999</v>
      </c>
      <c r="D75" s="48">
        <v>39.209654590000007</v>
      </c>
      <c r="E75" s="48"/>
      <c r="F75" s="427" t="s">
        <v>978</v>
      </c>
      <c r="G75" s="48">
        <v>0.15488372</v>
      </c>
      <c r="H75" s="48">
        <v>0.98119670999999997</v>
      </c>
      <c r="I75" s="48">
        <v>3.3027347300000001</v>
      </c>
      <c r="J75" s="48"/>
      <c r="K75" s="427" t="s">
        <v>136</v>
      </c>
      <c r="L75" s="48">
        <v>0.76071076999999998</v>
      </c>
      <c r="M75" s="48">
        <v>0.32861134000000003</v>
      </c>
      <c r="N75" s="48">
        <v>0.42866383000000002</v>
      </c>
    </row>
    <row r="76" spans="1:14" x14ac:dyDescent="0.25">
      <c r="A76" s="427" t="s">
        <v>384</v>
      </c>
      <c r="B76" s="48">
        <v>68.157184450000003</v>
      </c>
      <c r="C76" s="48">
        <v>33.457402000000002</v>
      </c>
      <c r="D76" s="48">
        <v>38.576567149999995</v>
      </c>
      <c r="E76" s="48"/>
      <c r="F76" s="427" t="s">
        <v>174</v>
      </c>
      <c r="G76" s="48">
        <v>7.2513099800000003</v>
      </c>
      <c r="H76" s="48">
        <v>4.3220602900000005</v>
      </c>
      <c r="I76" s="48">
        <v>3.2602577999999998</v>
      </c>
      <c r="J76" s="48"/>
      <c r="K76" s="427" t="s">
        <v>197</v>
      </c>
      <c r="L76" s="48">
        <v>0.88857991000000003</v>
      </c>
      <c r="M76" s="48">
        <v>0.25403418999999999</v>
      </c>
      <c r="N76" s="48">
        <v>0.36528321000000002</v>
      </c>
    </row>
    <row r="77" spans="1:14" x14ac:dyDescent="0.25">
      <c r="A77" s="427" t="s">
        <v>353</v>
      </c>
      <c r="B77" s="48">
        <v>30.85574484</v>
      </c>
      <c r="C77" s="48">
        <v>29.316087530000001</v>
      </c>
      <c r="D77" s="48">
        <v>36.086332799999994</v>
      </c>
      <c r="E77" s="48"/>
      <c r="F77" s="427" t="s">
        <v>28</v>
      </c>
      <c r="G77" s="48">
        <v>7.81146356</v>
      </c>
      <c r="H77" s="48">
        <v>4.5880665599999997</v>
      </c>
      <c r="I77" s="48">
        <v>3.1301522300000002</v>
      </c>
      <c r="J77" s="48"/>
      <c r="K77" s="427" t="s">
        <v>210</v>
      </c>
      <c r="L77" s="48">
        <v>0.76346698000000002</v>
      </c>
      <c r="M77" s="48">
        <v>0.63024129000000007</v>
      </c>
      <c r="N77" s="48">
        <v>0.34372453000000003</v>
      </c>
    </row>
    <row r="78" spans="1:14" x14ac:dyDescent="0.25">
      <c r="A78" s="427" t="s">
        <v>16</v>
      </c>
      <c r="B78" s="48">
        <v>27.546442000000102</v>
      </c>
      <c r="C78" s="48">
        <v>32.402331320000201</v>
      </c>
      <c r="D78" s="48">
        <v>35.928048939999996</v>
      </c>
      <c r="E78" s="48"/>
      <c r="F78" s="427" t="s">
        <v>95</v>
      </c>
      <c r="G78" s="48">
        <v>3.3587839599999998</v>
      </c>
      <c r="H78" s="48">
        <v>5.7998125900000002</v>
      </c>
      <c r="I78" s="48">
        <v>3.0891431499999999</v>
      </c>
      <c r="J78" s="48"/>
      <c r="K78" s="427" t="s">
        <v>58</v>
      </c>
      <c r="L78" s="48">
        <v>0.68388037000000002</v>
      </c>
      <c r="M78" s="48">
        <v>0.28861841999999999</v>
      </c>
      <c r="N78" s="48">
        <v>0.32638884000000001</v>
      </c>
    </row>
    <row r="79" spans="1:14" x14ac:dyDescent="0.25">
      <c r="A79" s="427" t="s">
        <v>142</v>
      </c>
      <c r="B79" s="48">
        <v>18.194724879999999</v>
      </c>
      <c r="C79" s="48">
        <v>23.285870559999999</v>
      </c>
      <c r="D79" s="48">
        <v>35.899283679999996</v>
      </c>
      <c r="E79" s="48"/>
      <c r="F79" s="427" t="s">
        <v>89</v>
      </c>
      <c r="G79" s="48">
        <v>7.15367146</v>
      </c>
      <c r="H79" s="48">
        <v>4.9797517999999998</v>
      </c>
      <c r="I79" s="48">
        <v>3.0644981699999998</v>
      </c>
      <c r="J79" s="48"/>
      <c r="K79" s="427" t="s">
        <v>152</v>
      </c>
      <c r="L79" s="48">
        <v>0.29815613000000002</v>
      </c>
      <c r="M79" s="48">
        <v>0.43255812999999999</v>
      </c>
      <c r="N79" s="48">
        <v>0.31516357</v>
      </c>
    </row>
    <row r="80" spans="1:14" x14ac:dyDescent="0.25">
      <c r="A80" s="427" t="s">
        <v>24</v>
      </c>
      <c r="B80" s="48">
        <v>31.900199910000001</v>
      </c>
      <c r="C80" s="48">
        <v>36.967887450000006</v>
      </c>
      <c r="D80" s="48">
        <v>35.791645709999997</v>
      </c>
      <c r="E80" s="48"/>
      <c r="F80" s="427" t="s">
        <v>63</v>
      </c>
      <c r="G80" s="48">
        <v>16.440658519999999</v>
      </c>
      <c r="H80" s="48">
        <v>3.0094044599999998</v>
      </c>
      <c r="I80" s="48">
        <v>3.0322029100000001</v>
      </c>
      <c r="J80" s="48"/>
      <c r="K80" s="427" t="s">
        <v>28</v>
      </c>
      <c r="L80" s="48">
        <v>0.5061466</v>
      </c>
      <c r="M80" s="48">
        <v>0.61478412999999998</v>
      </c>
      <c r="N80" s="48">
        <v>0.30729468999999998</v>
      </c>
    </row>
    <row r="81" spans="1:14" x14ac:dyDescent="0.25">
      <c r="A81" s="427" t="s">
        <v>159</v>
      </c>
      <c r="B81" s="48">
        <v>25.055915210000002</v>
      </c>
      <c r="C81" s="48">
        <v>39.363292420000001</v>
      </c>
      <c r="D81" s="48">
        <v>35.275042849999998</v>
      </c>
      <c r="E81" s="48"/>
      <c r="F81" s="427" t="s">
        <v>353</v>
      </c>
      <c r="G81" s="48">
        <v>2.7722582899999999</v>
      </c>
      <c r="H81" s="48">
        <v>2.01106221</v>
      </c>
      <c r="I81" s="48">
        <v>2.8976295400000001</v>
      </c>
      <c r="J81" s="48"/>
      <c r="K81" s="427" t="s">
        <v>181</v>
      </c>
      <c r="L81" s="48">
        <v>0.75033563000000003</v>
      </c>
      <c r="M81" s="48">
        <v>0.32218830999999998</v>
      </c>
      <c r="N81" s="48">
        <v>0.29382336999999997</v>
      </c>
    </row>
    <row r="82" spans="1:14" x14ac:dyDescent="0.25">
      <c r="A82" s="427" t="s">
        <v>190</v>
      </c>
      <c r="B82" s="48">
        <v>39.6289568400001</v>
      </c>
      <c r="C82" s="48">
        <v>25.076207110000102</v>
      </c>
      <c r="D82" s="48">
        <v>35.048617109999903</v>
      </c>
      <c r="E82" s="48"/>
      <c r="F82" s="427" t="s">
        <v>71</v>
      </c>
      <c r="G82" s="48">
        <v>0</v>
      </c>
      <c r="H82" s="48">
        <v>3.8305019999999995E-2</v>
      </c>
      <c r="I82" s="48">
        <v>2.8792096800000002</v>
      </c>
      <c r="J82" s="48"/>
      <c r="K82" s="427" t="s">
        <v>77</v>
      </c>
      <c r="L82" s="48">
        <v>0.32189710999999999</v>
      </c>
      <c r="M82" s="48">
        <v>0.35790752000000003</v>
      </c>
      <c r="N82" s="48">
        <v>0.28751431999999999</v>
      </c>
    </row>
    <row r="83" spans="1:14" x14ac:dyDescent="0.25">
      <c r="A83" s="427" t="s">
        <v>26</v>
      </c>
      <c r="B83" s="48">
        <v>29.289001070000001</v>
      </c>
      <c r="C83" s="48">
        <v>29.73689822</v>
      </c>
      <c r="D83" s="48">
        <v>34.783807939999996</v>
      </c>
      <c r="E83" s="48"/>
      <c r="F83" s="427" t="s">
        <v>197</v>
      </c>
      <c r="G83" s="48">
        <v>5.1743782400000002</v>
      </c>
      <c r="H83" s="48">
        <v>1.37195599</v>
      </c>
      <c r="I83" s="48">
        <v>2.8361499999999999</v>
      </c>
      <c r="J83" s="48"/>
      <c r="K83" s="427" t="s">
        <v>176</v>
      </c>
      <c r="L83" s="48">
        <v>0.22168664000000002</v>
      </c>
      <c r="M83" s="48">
        <v>0.98026102999999998</v>
      </c>
      <c r="N83" s="48">
        <v>0.28697066999999998</v>
      </c>
    </row>
    <row r="84" spans="1:14" x14ac:dyDescent="0.25">
      <c r="A84" s="427" t="s">
        <v>82</v>
      </c>
      <c r="B84" s="48">
        <v>20.128352280000001</v>
      </c>
      <c r="C84" s="48">
        <v>41.07881613</v>
      </c>
      <c r="D84" s="48">
        <v>34.20440644</v>
      </c>
      <c r="E84" s="48"/>
      <c r="F84" s="427" t="s">
        <v>137</v>
      </c>
      <c r="G84" s="48">
        <v>2.2851072700000001</v>
      </c>
      <c r="H84" s="48">
        <v>1.7565201000000001</v>
      </c>
      <c r="I84" s="48">
        <v>2.8229958900000001</v>
      </c>
      <c r="J84" s="48"/>
      <c r="K84" s="427" t="s">
        <v>8</v>
      </c>
      <c r="L84" s="48">
        <v>4.6510072699999991</v>
      </c>
      <c r="M84" s="48">
        <v>1.0897069699999999</v>
      </c>
      <c r="N84" s="48">
        <v>0.26290711999999999</v>
      </c>
    </row>
    <row r="85" spans="1:14" x14ac:dyDescent="0.25">
      <c r="A85" s="427" t="s">
        <v>4</v>
      </c>
      <c r="B85" s="48">
        <v>36.452593479999997</v>
      </c>
      <c r="C85" s="48">
        <v>17.716388250000001</v>
      </c>
      <c r="D85" s="48">
        <v>33.64134645</v>
      </c>
      <c r="E85" s="48"/>
      <c r="F85" s="427" t="s">
        <v>165</v>
      </c>
      <c r="G85" s="48">
        <v>2.6903934199999999</v>
      </c>
      <c r="H85" s="48">
        <v>1.76117967</v>
      </c>
      <c r="I85" s="48">
        <v>2.6840789500000004</v>
      </c>
      <c r="J85" s="48"/>
      <c r="K85" s="427" t="s">
        <v>120</v>
      </c>
      <c r="L85" s="48">
        <v>4.5996120000000001E-2</v>
      </c>
      <c r="M85" s="48">
        <v>3.9969999999999999E-2</v>
      </c>
      <c r="N85" s="48">
        <v>0.26111096</v>
      </c>
    </row>
    <row r="86" spans="1:14" x14ac:dyDescent="0.25">
      <c r="A86" s="427" t="s">
        <v>194</v>
      </c>
      <c r="B86" s="48">
        <v>32.311037920000004</v>
      </c>
      <c r="C86" s="48">
        <v>37.063815600000098</v>
      </c>
      <c r="D86" s="48">
        <v>33.446081769999999</v>
      </c>
      <c r="E86" s="48"/>
      <c r="F86" s="427" t="s">
        <v>80</v>
      </c>
      <c r="G86" s="48">
        <v>1.1490267700000001</v>
      </c>
      <c r="H86" s="48">
        <v>6.8340605099999996</v>
      </c>
      <c r="I86" s="48">
        <v>2.6467876000000001</v>
      </c>
      <c r="J86" s="48"/>
      <c r="K86" s="427" t="s">
        <v>189</v>
      </c>
      <c r="L86" s="48">
        <v>0.22239923</v>
      </c>
      <c r="M86" s="48">
        <v>7.7832410000000005E-2</v>
      </c>
      <c r="N86" s="48">
        <v>0.26079461999999998</v>
      </c>
    </row>
    <row r="87" spans="1:14" x14ac:dyDescent="0.25">
      <c r="A87" s="427" t="s">
        <v>132</v>
      </c>
      <c r="B87" s="48">
        <v>27.305352790000001</v>
      </c>
      <c r="C87" s="48">
        <v>47.923737439999996</v>
      </c>
      <c r="D87" s="48">
        <v>33.26233277</v>
      </c>
      <c r="E87" s="48"/>
      <c r="F87" s="427" t="s">
        <v>123</v>
      </c>
      <c r="G87" s="48">
        <v>3.1075266800000003</v>
      </c>
      <c r="H87" s="48">
        <v>1.27152278</v>
      </c>
      <c r="I87" s="48">
        <v>2.4879441899999999</v>
      </c>
      <c r="J87" s="48"/>
      <c r="K87" s="427" t="s">
        <v>90</v>
      </c>
      <c r="L87" s="48">
        <v>0.43991158000000002</v>
      </c>
      <c r="M87" s="48">
        <v>0.22321226</v>
      </c>
      <c r="N87" s="48">
        <v>0.24918165</v>
      </c>
    </row>
    <row r="88" spans="1:14" x14ac:dyDescent="0.25">
      <c r="A88" s="427" t="s">
        <v>134</v>
      </c>
      <c r="B88" s="48">
        <v>30.54459997</v>
      </c>
      <c r="C88" s="48">
        <v>40.217810719999996</v>
      </c>
      <c r="D88" s="48">
        <v>32.7384536</v>
      </c>
      <c r="E88" s="48"/>
      <c r="F88" s="427" t="s">
        <v>133</v>
      </c>
      <c r="G88" s="48">
        <v>17.627074579999999</v>
      </c>
      <c r="H88" s="48">
        <v>18.179072089999998</v>
      </c>
      <c r="I88" s="48">
        <v>2.4389429599999999</v>
      </c>
      <c r="J88" s="48"/>
      <c r="K88" s="427" t="s">
        <v>201</v>
      </c>
      <c r="L88" s="48">
        <v>9.0034520000000007E-2</v>
      </c>
      <c r="M88" s="48">
        <v>0.98925732999999993</v>
      </c>
      <c r="N88" s="48">
        <v>0.24869792999999998</v>
      </c>
    </row>
    <row r="89" spans="1:14" x14ac:dyDescent="0.25">
      <c r="A89" s="427" t="s">
        <v>124</v>
      </c>
      <c r="B89" s="48">
        <v>29.809592200000001</v>
      </c>
      <c r="C89" s="48">
        <v>25.090136569999999</v>
      </c>
      <c r="D89" s="48">
        <v>32.063079100000003</v>
      </c>
      <c r="E89" s="48"/>
      <c r="F89" s="427" t="s">
        <v>22</v>
      </c>
      <c r="G89" s="48">
        <v>0.95977604000000005</v>
      </c>
      <c r="H89" s="48">
        <v>1.0881676899999999</v>
      </c>
      <c r="I89" s="48">
        <v>2.4044411000000001</v>
      </c>
      <c r="J89" s="48"/>
      <c r="K89" s="427" t="s">
        <v>194</v>
      </c>
      <c r="L89" s="48">
        <v>0.43534059000000003</v>
      </c>
      <c r="M89" s="48">
        <v>0.12107983</v>
      </c>
      <c r="N89" s="48">
        <v>0.24709120000000001</v>
      </c>
    </row>
    <row r="90" spans="1:14" x14ac:dyDescent="0.25">
      <c r="A90" s="427" t="s">
        <v>168</v>
      </c>
      <c r="B90" s="48">
        <v>38.776838159999997</v>
      </c>
      <c r="C90" s="48">
        <v>34.561460609999997</v>
      </c>
      <c r="D90" s="48">
        <v>31.499553719999998</v>
      </c>
      <c r="E90" s="48"/>
      <c r="F90" s="427" t="s">
        <v>126</v>
      </c>
      <c r="G90" s="48">
        <v>1.3797925600000001</v>
      </c>
      <c r="H90" s="48">
        <v>3.8691824100000001</v>
      </c>
      <c r="I90" s="48">
        <v>2.3398717200000001</v>
      </c>
      <c r="J90" s="48"/>
      <c r="K90" s="427" t="s">
        <v>100</v>
      </c>
      <c r="L90" s="48">
        <v>1.14424561</v>
      </c>
      <c r="M90" s="48">
        <v>1.3760810400000001</v>
      </c>
      <c r="N90" s="48">
        <v>0.23156157999999999</v>
      </c>
    </row>
    <row r="91" spans="1:14" x14ac:dyDescent="0.25">
      <c r="A91" s="427" t="s">
        <v>360</v>
      </c>
      <c r="B91" s="48">
        <v>19.20515906</v>
      </c>
      <c r="C91" s="48">
        <v>24.447932850000001</v>
      </c>
      <c r="D91" s="48">
        <v>30.885654850000002</v>
      </c>
      <c r="E91" s="48"/>
      <c r="F91" s="427" t="s">
        <v>209</v>
      </c>
      <c r="G91" s="48">
        <v>3.5162425399999999</v>
      </c>
      <c r="H91" s="48">
        <v>4.4416291900000004</v>
      </c>
      <c r="I91" s="48">
        <v>2.3266238299999999</v>
      </c>
      <c r="J91" s="48"/>
      <c r="K91" s="427" t="s">
        <v>106</v>
      </c>
      <c r="L91" s="48">
        <v>0.43086377000000003</v>
      </c>
      <c r="M91" s="48">
        <v>0.55944303000000006</v>
      </c>
      <c r="N91" s="48">
        <v>0.18713837</v>
      </c>
    </row>
    <row r="92" spans="1:14" x14ac:dyDescent="0.25">
      <c r="A92" s="427" t="s">
        <v>103</v>
      </c>
      <c r="B92" s="48">
        <v>26.903461249999999</v>
      </c>
      <c r="C92" s="48">
        <v>28.720264649999997</v>
      </c>
      <c r="D92" s="48">
        <v>30.341854059999999</v>
      </c>
      <c r="E92" s="48"/>
      <c r="F92" s="427" t="s">
        <v>164</v>
      </c>
      <c r="G92" s="48">
        <v>2.4612792999999997</v>
      </c>
      <c r="H92" s="48">
        <v>4.0425228899999999</v>
      </c>
      <c r="I92" s="48">
        <v>2.15854795</v>
      </c>
      <c r="J92" s="48"/>
      <c r="K92" s="427" t="s">
        <v>193</v>
      </c>
      <c r="L92" s="48">
        <v>0.19814666</v>
      </c>
      <c r="M92" s="48">
        <v>0.28947462000000002</v>
      </c>
      <c r="N92" s="48">
        <v>0.18582314000000003</v>
      </c>
    </row>
    <row r="93" spans="1:14" x14ac:dyDescent="0.25">
      <c r="A93" s="427" t="s">
        <v>39</v>
      </c>
      <c r="B93" s="48">
        <v>27.540125809999999</v>
      </c>
      <c r="C93" s="48">
        <v>30.577394809999998</v>
      </c>
      <c r="D93" s="48">
        <v>30.181536340000001</v>
      </c>
      <c r="E93" s="48"/>
      <c r="F93" s="427" t="s">
        <v>10</v>
      </c>
      <c r="G93" s="48">
        <v>4.70229344</v>
      </c>
      <c r="H93" s="48">
        <v>10.021723470000001</v>
      </c>
      <c r="I93" s="48">
        <v>1.9379720900000001</v>
      </c>
      <c r="J93" s="48"/>
      <c r="K93" s="427" t="s">
        <v>196</v>
      </c>
      <c r="L93" s="48">
        <v>0.11892976</v>
      </c>
      <c r="M93" s="48">
        <v>0.15677236</v>
      </c>
      <c r="N93" s="48">
        <v>0.16275528</v>
      </c>
    </row>
    <row r="94" spans="1:14" x14ac:dyDescent="0.25">
      <c r="A94" s="427" t="s">
        <v>90</v>
      </c>
      <c r="B94" s="48">
        <v>29.541658890000001</v>
      </c>
      <c r="C94" s="48">
        <v>25.492870280000002</v>
      </c>
      <c r="D94" s="48">
        <v>29.100268319999898</v>
      </c>
      <c r="E94" s="48"/>
      <c r="F94" s="427" t="s">
        <v>129</v>
      </c>
      <c r="G94" s="48">
        <v>5.9989526600000005</v>
      </c>
      <c r="H94" s="48">
        <v>7.1163520599999996</v>
      </c>
      <c r="I94" s="48">
        <v>1.8958334999999999</v>
      </c>
      <c r="J94" s="48"/>
      <c r="K94" s="427" t="s">
        <v>137</v>
      </c>
      <c r="L94" s="48">
        <v>0.21785332999999998</v>
      </c>
      <c r="M94" s="48">
        <v>0.16540564000000002</v>
      </c>
      <c r="N94" s="48">
        <v>0.15837950000000001</v>
      </c>
    </row>
    <row r="95" spans="1:14" x14ac:dyDescent="0.25">
      <c r="A95" s="427" t="s">
        <v>137</v>
      </c>
      <c r="B95" s="48">
        <v>31.376564179999999</v>
      </c>
      <c r="C95" s="48">
        <v>27.453481069999999</v>
      </c>
      <c r="D95" s="48">
        <v>28.904343559999997</v>
      </c>
      <c r="E95" s="48"/>
      <c r="F95" s="427" t="s">
        <v>181</v>
      </c>
      <c r="G95" s="48">
        <v>1.2895511399999999</v>
      </c>
      <c r="H95" s="48">
        <v>1.2931817400000001</v>
      </c>
      <c r="I95" s="48">
        <v>1.88263811</v>
      </c>
      <c r="J95" s="48"/>
      <c r="K95" s="427" t="s">
        <v>109</v>
      </c>
      <c r="L95" s="48">
        <v>4.60014E-3</v>
      </c>
      <c r="M95" s="48">
        <v>9.3221399999999996E-3</v>
      </c>
      <c r="N95" s="48">
        <v>0.15759481</v>
      </c>
    </row>
    <row r="96" spans="1:14" x14ac:dyDescent="0.25">
      <c r="A96" s="427" t="s">
        <v>38</v>
      </c>
      <c r="B96" s="48">
        <v>25.479555319999999</v>
      </c>
      <c r="C96" s="48">
        <v>28.706511679999998</v>
      </c>
      <c r="D96" s="48">
        <v>28.603979260000003</v>
      </c>
      <c r="E96" s="48"/>
      <c r="F96" s="427" t="s">
        <v>143</v>
      </c>
      <c r="G96" s="48">
        <v>7.7887428600000002</v>
      </c>
      <c r="H96" s="48">
        <v>1.0814811899999999</v>
      </c>
      <c r="I96" s="48">
        <v>1.84581796</v>
      </c>
      <c r="J96" s="48"/>
      <c r="K96" s="427" t="s">
        <v>112</v>
      </c>
      <c r="L96" s="48">
        <v>8.8322190000000009E-2</v>
      </c>
      <c r="M96" s="48">
        <v>0.61954215000000001</v>
      </c>
      <c r="N96" s="48">
        <v>0.15569148000000002</v>
      </c>
    </row>
    <row r="97" spans="1:14" x14ac:dyDescent="0.25">
      <c r="A97" s="427" t="s">
        <v>116</v>
      </c>
      <c r="B97" s="48">
        <v>32.259564690000005</v>
      </c>
      <c r="C97" s="48">
        <v>24.354067799999999</v>
      </c>
      <c r="D97" s="48">
        <v>27.843830190000002</v>
      </c>
      <c r="E97" s="48"/>
      <c r="F97" s="427" t="s">
        <v>54</v>
      </c>
      <c r="G97" s="48">
        <v>0</v>
      </c>
      <c r="H97" s="48">
        <v>6.7101504900000002</v>
      </c>
      <c r="I97" s="48">
        <v>1.82917106</v>
      </c>
      <c r="J97" s="48"/>
      <c r="K97" s="427" t="s">
        <v>131</v>
      </c>
      <c r="L97" s="48">
        <v>6.4233299999999997E-3</v>
      </c>
      <c r="M97" s="48">
        <v>0.17063476</v>
      </c>
      <c r="N97" s="48">
        <v>0.14550621</v>
      </c>
    </row>
    <row r="98" spans="1:14" x14ac:dyDescent="0.25">
      <c r="A98" s="427" t="s">
        <v>387</v>
      </c>
      <c r="B98" s="48">
        <v>18.46223466</v>
      </c>
      <c r="C98" s="48">
        <v>20.167146859999999</v>
      </c>
      <c r="D98" s="48">
        <v>26.806760730000001</v>
      </c>
      <c r="E98" s="48"/>
      <c r="F98" s="427" t="s">
        <v>149</v>
      </c>
      <c r="G98" s="48">
        <v>0.20847419</v>
      </c>
      <c r="H98" s="48">
        <v>1.66117826</v>
      </c>
      <c r="I98" s="48">
        <v>1.80783603</v>
      </c>
      <c r="J98" s="48"/>
      <c r="K98" s="427" t="s">
        <v>84</v>
      </c>
      <c r="L98" s="48">
        <v>0.13372129000000002</v>
      </c>
      <c r="M98" s="48">
        <v>0.64583199000000002</v>
      </c>
      <c r="N98" s="48">
        <v>0.13081489999999998</v>
      </c>
    </row>
    <row r="99" spans="1:14" x14ac:dyDescent="0.25">
      <c r="A99" s="427" t="s">
        <v>117</v>
      </c>
      <c r="B99" s="48">
        <v>15.34346798</v>
      </c>
      <c r="C99" s="48">
        <v>26.604423960000002</v>
      </c>
      <c r="D99" s="48">
        <v>26.492966920000001</v>
      </c>
      <c r="E99" s="48"/>
      <c r="F99" s="427" t="s">
        <v>76</v>
      </c>
      <c r="G99" s="48">
        <v>8.08653814</v>
      </c>
      <c r="H99" s="48">
        <v>1.7979871999999999</v>
      </c>
      <c r="I99" s="48">
        <v>1.79206848</v>
      </c>
      <c r="J99" s="48"/>
      <c r="K99" s="427" t="s">
        <v>111</v>
      </c>
      <c r="L99" s="48">
        <v>8.529979E-2</v>
      </c>
      <c r="M99" s="48">
        <v>3.2158920000000001E-2</v>
      </c>
      <c r="N99" s="48">
        <v>0.12947917</v>
      </c>
    </row>
    <row r="100" spans="1:14" x14ac:dyDescent="0.25">
      <c r="A100" s="427" t="s">
        <v>188</v>
      </c>
      <c r="B100" s="48">
        <v>25.360352280000001</v>
      </c>
      <c r="C100" s="48">
        <v>23.470401030000001</v>
      </c>
      <c r="D100" s="48">
        <v>26.15685719</v>
      </c>
      <c r="E100" s="48"/>
      <c r="F100" s="427" t="s">
        <v>116</v>
      </c>
      <c r="G100" s="48">
        <v>1.5616790199999999</v>
      </c>
      <c r="H100" s="48">
        <v>1.1665287</v>
      </c>
      <c r="I100" s="48">
        <v>1.7280873400000001</v>
      </c>
      <c r="J100" s="48"/>
      <c r="K100" s="427" t="s">
        <v>978</v>
      </c>
      <c r="L100" s="48">
        <v>0.22844349</v>
      </c>
      <c r="M100" s="48">
        <v>5.9938110000000003E-2</v>
      </c>
      <c r="N100" s="48">
        <v>0.12633896</v>
      </c>
    </row>
    <row r="101" spans="1:14" x14ac:dyDescent="0.25">
      <c r="A101" s="427" t="s">
        <v>160</v>
      </c>
      <c r="B101" s="48">
        <v>23.834223590000001</v>
      </c>
      <c r="C101" s="48">
        <v>26.820891629999998</v>
      </c>
      <c r="D101" s="48">
        <v>25.694922609999999</v>
      </c>
      <c r="E101" s="48"/>
      <c r="F101" s="427" t="s">
        <v>176</v>
      </c>
      <c r="G101" s="48">
        <v>3.6180146500000001</v>
      </c>
      <c r="H101" s="48">
        <v>2.2530377700000002</v>
      </c>
      <c r="I101" s="48">
        <v>1.6501080299999999</v>
      </c>
      <c r="J101" s="48"/>
      <c r="K101" s="427" t="s">
        <v>149</v>
      </c>
      <c r="L101" s="48">
        <v>0.22059507</v>
      </c>
      <c r="M101" s="48">
        <v>0.16381200000000001</v>
      </c>
      <c r="N101" s="48">
        <v>0.11954039</v>
      </c>
    </row>
    <row r="102" spans="1:14" x14ac:dyDescent="0.25">
      <c r="A102" s="427" t="s">
        <v>104</v>
      </c>
      <c r="B102" s="48">
        <v>21.271425399999998</v>
      </c>
      <c r="C102" s="48">
        <v>25.577090559999998</v>
      </c>
      <c r="D102" s="48">
        <v>24.224959420000001</v>
      </c>
      <c r="E102" s="48"/>
      <c r="F102" s="427" t="s">
        <v>161</v>
      </c>
      <c r="G102" s="48">
        <v>5.0753120599999999</v>
      </c>
      <c r="H102" s="48">
        <v>17.64544867</v>
      </c>
      <c r="I102" s="48">
        <v>1.56332267</v>
      </c>
      <c r="J102" s="48"/>
      <c r="K102" s="427" t="s">
        <v>147</v>
      </c>
      <c r="L102" s="48">
        <v>0.46382025999999998</v>
      </c>
      <c r="M102" s="48">
        <v>0.22420224</v>
      </c>
      <c r="N102" s="48">
        <v>0.11215512</v>
      </c>
    </row>
    <row r="103" spans="1:14" x14ac:dyDescent="0.25">
      <c r="A103" s="427" t="s">
        <v>123</v>
      </c>
      <c r="B103" s="48">
        <v>19.819770760000001</v>
      </c>
      <c r="C103" s="48">
        <v>16.232945480000001</v>
      </c>
      <c r="D103" s="48">
        <v>24.130511300000002</v>
      </c>
      <c r="E103" s="48"/>
      <c r="F103" s="427" t="s">
        <v>118</v>
      </c>
      <c r="G103" s="48">
        <v>2.0900153600000002</v>
      </c>
      <c r="H103" s="48">
        <v>1.3961473600000001</v>
      </c>
      <c r="I103" s="48">
        <v>1.5466803200000001</v>
      </c>
      <c r="J103" s="48"/>
      <c r="K103" s="427" t="s">
        <v>376</v>
      </c>
      <c r="L103" s="48">
        <v>0</v>
      </c>
      <c r="M103" s="48">
        <v>0</v>
      </c>
      <c r="N103" s="48">
        <v>0.10460111</v>
      </c>
    </row>
    <row r="104" spans="1:14" x14ac:dyDescent="0.25">
      <c r="A104" s="427" t="s">
        <v>197</v>
      </c>
      <c r="B104" s="48">
        <v>29.501967839999999</v>
      </c>
      <c r="C104" s="48">
        <v>20.12947823</v>
      </c>
      <c r="D104" s="48">
        <v>23.046141600000002</v>
      </c>
      <c r="E104" s="48"/>
      <c r="F104" s="427" t="s">
        <v>109</v>
      </c>
      <c r="G104" s="48">
        <v>1.4430878</v>
      </c>
      <c r="H104" s="48">
        <v>1.38823203</v>
      </c>
      <c r="I104" s="48">
        <v>1.5238639299999999</v>
      </c>
      <c r="J104" s="48"/>
      <c r="K104" s="427" t="s">
        <v>93</v>
      </c>
      <c r="L104" s="48">
        <v>4.0447080000000003E-2</v>
      </c>
      <c r="M104" s="48">
        <v>7.4911530000000004E-2</v>
      </c>
      <c r="N104" s="48">
        <v>0.10088414</v>
      </c>
    </row>
    <row r="105" spans="1:14" x14ac:dyDescent="0.25">
      <c r="A105" s="427" t="s">
        <v>58</v>
      </c>
      <c r="B105" s="48">
        <v>15.17848047</v>
      </c>
      <c r="C105" s="48">
        <v>17.355712319999999</v>
      </c>
      <c r="D105" s="48">
        <v>22.052845530000003</v>
      </c>
      <c r="E105" s="48"/>
      <c r="F105" s="427" t="s">
        <v>356</v>
      </c>
      <c r="G105" s="48">
        <v>2.8606859999999998</v>
      </c>
      <c r="H105" s="48">
        <v>2.6276269999999999</v>
      </c>
      <c r="I105" s="48">
        <v>1.468156</v>
      </c>
      <c r="J105" s="48"/>
      <c r="K105" s="427" t="s">
        <v>169</v>
      </c>
      <c r="L105" s="48">
        <v>0.15291041</v>
      </c>
      <c r="M105" s="48">
        <v>5.0857869999999999E-2</v>
      </c>
      <c r="N105" s="48">
        <v>9.4895729999999998E-2</v>
      </c>
    </row>
    <row r="106" spans="1:14" x14ac:dyDescent="0.25">
      <c r="A106" s="427" t="s">
        <v>163</v>
      </c>
      <c r="B106" s="48">
        <v>32.394594769999998</v>
      </c>
      <c r="C106" s="48">
        <v>39.520098750000095</v>
      </c>
      <c r="D106" s="48">
        <v>21.801391350000003</v>
      </c>
      <c r="E106" s="48"/>
      <c r="F106" s="427" t="s">
        <v>83</v>
      </c>
      <c r="G106" s="48">
        <v>1.47288727</v>
      </c>
      <c r="H106" s="48">
        <v>3.12225967</v>
      </c>
      <c r="I106" s="48">
        <v>1.4648242499999999</v>
      </c>
      <c r="J106" s="48"/>
      <c r="K106" s="427" t="s">
        <v>132</v>
      </c>
      <c r="L106" s="48">
        <v>0.32378494000000002</v>
      </c>
      <c r="M106" s="48">
        <v>0.42090346000000001</v>
      </c>
      <c r="N106" s="48">
        <v>9.4436110000000004E-2</v>
      </c>
    </row>
    <row r="107" spans="1:14" x14ac:dyDescent="0.25">
      <c r="A107" s="427" t="s">
        <v>19</v>
      </c>
      <c r="B107" s="48">
        <v>16.08066037</v>
      </c>
      <c r="C107" s="48">
        <v>22.015735410000001</v>
      </c>
      <c r="D107" s="48">
        <v>21.62647041</v>
      </c>
      <c r="E107" s="48"/>
      <c r="F107" s="427" t="s">
        <v>186</v>
      </c>
      <c r="G107" s="48">
        <v>3.7862128300000002</v>
      </c>
      <c r="H107" s="48">
        <v>0.33460832000000001</v>
      </c>
      <c r="I107" s="48">
        <v>1.4440223799999998</v>
      </c>
      <c r="J107" s="48"/>
      <c r="K107" s="427" t="s">
        <v>211</v>
      </c>
      <c r="L107" s="48">
        <v>3.242461E-2</v>
      </c>
      <c r="M107" s="48">
        <v>0.12032459</v>
      </c>
      <c r="N107" s="48">
        <v>8.3393949999999994E-2</v>
      </c>
    </row>
    <row r="108" spans="1:14" x14ac:dyDescent="0.25">
      <c r="A108" s="427" t="s">
        <v>102</v>
      </c>
      <c r="B108" s="48">
        <v>38.873865199999898</v>
      </c>
      <c r="C108" s="48">
        <v>24.738628670000001</v>
      </c>
      <c r="D108" s="48">
        <v>21.583675079999999</v>
      </c>
      <c r="E108" s="48"/>
      <c r="F108" s="427" t="s">
        <v>66</v>
      </c>
      <c r="G108" s="48">
        <v>1.8327141299999998</v>
      </c>
      <c r="H108" s="48">
        <v>1.8413016799999999</v>
      </c>
      <c r="I108" s="48">
        <v>1.41439856</v>
      </c>
      <c r="J108" s="48"/>
      <c r="K108" s="427" t="s">
        <v>72</v>
      </c>
      <c r="L108" s="48">
        <v>0.26858820999999999</v>
      </c>
      <c r="M108" s="48">
        <v>7.3638439999999999E-2</v>
      </c>
      <c r="N108" s="48">
        <v>7.9605220000000004E-2</v>
      </c>
    </row>
    <row r="109" spans="1:14" x14ac:dyDescent="0.25">
      <c r="A109" s="427" t="s">
        <v>92</v>
      </c>
      <c r="B109" s="48">
        <v>27.348411079999998</v>
      </c>
      <c r="C109" s="48">
        <v>43.665918420000004</v>
      </c>
      <c r="D109" s="48">
        <v>21.436841999999999</v>
      </c>
      <c r="E109" s="48"/>
      <c r="F109" s="427" t="s">
        <v>39</v>
      </c>
      <c r="G109" s="48">
        <v>0.61310696999999992</v>
      </c>
      <c r="H109" s="48">
        <v>0.59356509999999996</v>
      </c>
      <c r="I109" s="48">
        <v>1.2457037</v>
      </c>
      <c r="J109" s="48"/>
      <c r="K109" s="427" t="s">
        <v>95</v>
      </c>
      <c r="L109" s="48">
        <v>0.55537950000000003</v>
      </c>
      <c r="M109" s="48">
        <v>0.21384318999999999</v>
      </c>
      <c r="N109" s="48">
        <v>7.8728630000000008E-2</v>
      </c>
    </row>
    <row r="110" spans="1:14" x14ac:dyDescent="0.25">
      <c r="A110" s="427" t="s">
        <v>2</v>
      </c>
      <c r="B110" s="48">
        <v>31.334718980000002</v>
      </c>
      <c r="C110" s="48">
        <v>17.50566976</v>
      </c>
      <c r="D110" s="48">
        <v>20.86534546</v>
      </c>
      <c r="E110" s="48"/>
      <c r="F110" s="427" t="s">
        <v>91</v>
      </c>
      <c r="G110" s="48">
        <v>0.11315674000000001</v>
      </c>
      <c r="H110" s="48">
        <v>1.7626506200000001</v>
      </c>
      <c r="I110" s="48">
        <v>1.2428089099999999</v>
      </c>
      <c r="J110" s="48"/>
      <c r="K110" s="427" t="s">
        <v>48</v>
      </c>
      <c r="L110" s="48">
        <v>1.71415E-2</v>
      </c>
      <c r="M110" s="48">
        <v>3.3000999999999999E-4</v>
      </c>
      <c r="N110" s="48">
        <v>7.8727720000000001E-2</v>
      </c>
    </row>
    <row r="111" spans="1:14" x14ac:dyDescent="0.25">
      <c r="A111" s="427" t="s">
        <v>86</v>
      </c>
      <c r="B111" s="48">
        <v>27.134664799999999</v>
      </c>
      <c r="C111" s="48">
        <v>16.870693489999997</v>
      </c>
      <c r="D111" s="48">
        <v>20.591560319999999</v>
      </c>
      <c r="E111" s="48"/>
      <c r="F111" s="427" t="s">
        <v>190</v>
      </c>
      <c r="G111" s="48">
        <v>1.73773029</v>
      </c>
      <c r="H111" s="48">
        <v>1.5687527400000001</v>
      </c>
      <c r="I111" s="48">
        <v>1.1842951799999999</v>
      </c>
      <c r="J111" s="48"/>
      <c r="K111" s="427" t="s">
        <v>124</v>
      </c>
      <c r="L111" s="48">
        <v>4.4823500000000004E-3</v>
      </c>
      <c r="M111" s="48">
        <v>1.58504E-3</v>
      </c>
      <c r="N111" s="48">
        <v>7.0464910000000006E-2</v>
      </c>
    </row>
    <row r="112" spans="1:14" x14ac:dyDescent="0.25">
      <c r="A112" s="427" t="s">
        <v>196</v>
      </c>
      <c r="B112" s="48">
        <v>20.697153489999998</v>
      </c>
      <c r="C112" s="48">
        <v>18.607114500000002</v>
      </c>
      <c r="D112" s="48">
        <v>18.93138317</v>
      </c>
      <c r="E112" s="48"/>
      <c r="F112" s="427" t="s">
        <v>79</v>
      </c>
      <c r="G112" s="48">
        <v>2.6005199599999997</v>
      </c>
      <c r="H112" s="48">
        <v>4.2743125700000002</v>
      </c>
      <c r="I112" s="48">
        <v>1.06994849</v>
      </c>
      <c r="J112" s="48"/>
      <c r="K112" s="427" t="s">
        <v>144</v>
      </c>
      <c r="L112" s="48">
        <v>0.30890371</v>
      </c>
      <c r="M112" s="48">
        <v>0.11490299000000001</v>
      </c>
      <c r="N112" s="48">
        <v>6.1245359999999999E-2</v>
      </c>
    </row>
    <row r="113" spans="1:14" x14ac:dyDescent="0.25">
      <c r="A113" s="427" t="s">
        <v>112</v>
      </c>
      <c r="B113" s="48">
        <v>22.959109739999999</v>
      </c>
      <c r="C113" s="48">
        <v>18.096081399999999</v>
      </c>
      <c r="D113" s="48">
        <v>18.86952432</v>
      </c>
      <c r="E113" s="48"/>
      <c r="F113" s="427" t="s">
        <v>117</v>
      </c>
      <c r="G113" s="48">
        <v>6.13203181</v>
      </c>
      <c r="H113" s="48">
        <v>2.9881825899999996</v>
      </c>
      <c r="I113" s="48">
        <v>1.0662806999999999</v>
      </c>
      <c r="J113" s="48"/>
      <c r="K113" s="427" t="s">
        <v>101</v>
      </c>
      <c r="L113" s="48">
        <v>0.14927557999999999</v>
      </c>
      <c r="M113" s="48">
        <v>0.61981699999999995</v>
      </c>
      <c r="N113" s="48">
        <v>5.5840540000000001E-2</v>
      </c>
    </row>
    <row r="114" spans="1:14" x14ac:dyDescent="0.25">
      <c r="A114" s="427" t="s">
        <v>210</v>
      </c>
      <c r="B114" s="48">
        <v>21.111620760000001</v>
      </c>
      <c r="C114" s="48">
        <v>26.213213809999999</v>
      </c>
      <c r="D114" s="48">
        <v>18.55018132</v>
      </c>
      <c r="E114" s="48"/>
      <c r="F114" s="427" t="s">
        <v>78</v>
      </c>
      <c r="G114" s="48">
        <v>0.77921819999999997</v>
      </c>
      <c r="H114" s="48">
        <v>0.84363374000000002</v>
      </c>
      <c r="I114" s="48">
        <v>1.0420443800000001</v>
      </c>
      <c r="J114" s="48"/>
      <c r="K114" s="427" t="s">
        <v>371</v>
      </c>
      <c r="L114" s="48">
        <v>0</v>
      </c>
      <c r="M114" s="48">
        <v>0.54890826999999998</v>
      </c>
      <c r="N114" s="48">
        <v>5.4810890000000001E-2</v>
      </c>
    </row>
    <row r="115" spans="1:14" x14ac:dyDescent="0.25">
      <c r="A115" s="427" t="s">
        <v>23</v>
      </c>
      <c r="B115" s="48">
        <v>21.266402079999999</v>
      </c>
      <c r="C115" s="48">
        <v>22.107306100000002</v>
      </c>
      <c r="D115" s="48">
        <v>17.489363430000001</v>
      </c>
      <c r="E115" s="48"/>
      <c r="F115" s="427" t="s">
        <v>147</v>
      </c>
      <c r="G115" s="48">
        <v>0.29806902000000002</v>
      </c>
      <c r="H115" s="48">
        <v>0.85720316000000008</v>
      </c>
      <c r="I115" s="48">
        <v>1.03527693</v>
      </c>
      <c r="J115" s="48"/>
      <c r="K115" s="427" t="s">
        <v>91</v>
      </c>
      <c r="L115" s="48">
        <v>3.9298930000000003E-2</v>
      </c>
      <c r="M115" s="48">
        <v>5.6077499999999999E-3</v>
      </c>
      <c r="N115" s="48">
        <v>5.0961079999999999E-2</v>
      </c>
    </row>
    <row r="116" spans="1:14" x14ac:dyDescent="0.25">
      <c r="A116" s="427" t="s">
        <v>93</v>
      </c>
      <c r="B116" s="48">
        <v>16.413933740000001</v>
      </c>
      <c r="C116" s="48">
        <v>18.491545200000001</v>
      </c>
      <c r="D116" s="48">
        <v>17.378476770000098</v>
      </c>
      <c r="E116" s="48"/>
      <c r="F116" s="427" t="s">
        <v>214</v>
      </c>
      <c r="G116" s="48">
        <v>0.72915560999999995</v>
      </c>
      <c r="H116" s="48">
        <v>18.034888079999998</v>
      </c>
      <c r="I116" s="48">
        <v>0.99069848999999999</v>
      </c>
      <c r="J116" s="48"/>
      <c r="K116" s="427" t="s">
        <v>119</v>
      </c>
      <c r="L116" s="48">
        <v>0.37532790999999999</v>
      </c>
      <c r="M116" s="48">
        <v>0.26782962999999999</v>
      </c>
      <c r="N116" s="48">
        <v>4.5172830000000004E-2</v>
      </c>
    </row>
    <row r="117" spans="1:14" x14ac:dyDescent="0.25">
      <c r="A117" s="427" t="s">
        <v>115</v>
      </c>
      <c r="B117" s="48">
        <v>13.83951587</v>
      </c>
      <c r="C117" s="48">
        <v>15.825372659999999</v>
      </c>
      <c r="D117" s="48">
        <v>16.855623100000003</v>
      </c>
      <c r="E117" s="48"/>
      <c r="F117" s="427" t="s">
        <v>382</v>
      </c>
      <c r="G117" s="48">
        <v>2.9858328300000001</v>
      </c>
      <c r="H117" s="48">
        <v>0.90588100999999999</v>
      </c>
      <c r="I117" s="48">
        <v>0.90596205000000007</v>
      </c>
      <c r="J117" s="48"/>
      <c r="K117" s="427" t="s">
        <v>359</v>
      </c>
      <c r="L117" s="48">
        <v>0.78492745999999991</v>
      </c>
      <c r="M117" s="48">
        <v>0.18692070999999999</v>
      </c>
      <c r="N117" s="48">
        <v>4.4937519999999995E-2</v>
      </c>
    </row>
    <row r="118" spans="1:14" x14ac:dyDescent="0.25">
      <c r="A118" s="427" t="s">
        <v>118</v>
      </c>
      <c r="B118" s="48">
        <v>13.5910206</v>
      </c>
      <c r="C118" s="48">
        <v>15.2787898</v>
      </c>
      <c r="D118" s="48">
        <v>16.783754999999999</v>
      </c>
      <c r="E118" s="48"/>
      <c r="F118" s="427" t="s">
        <v>175</v>
      </c>
      <c r="G118" s="48">
        <v>5.4429047699999993</v>
      </c>
      <c r="H118" s="48">
        <v>2.2614689399999999</v>
      </c>
      <c r="I118" s="48">
        <v>0.80712600000000001</v>
      </c>
      <c r="J118" s="48"/>
      <c r="K118" s="427" t="s">
        <v>30</v>
      </c>
      <c r="L118" s="48">
        <v>2.0530240000000002E-2</v>
      </c>
      <c r="M118" s="48">
        <v>6.7634599999999998E-3</v>
      </c>
      <c r="N118" s="48">
        <v>4.426244E-2</v>
      </c>
    </row>
    <row r="119" spans="1:14" x14ac:dyDescent="0.25">
      <c r="A119" s="427" t="s">
        <v>144</v>
      </c>
      <c r="B119" s="48">
        <v>10.942428119999999</v>
      </c>
      <c r="C119" s="48">
        <v>22.25243261</v>
      </c>
      <c r="D119" s="48">
        <v>16.743361480000001</v>
      </c>
      <c r="E119" s="48"/>
      <c r="F119" s="427" t="s">
        <v>154</v>
      </c>
      <c r="G119" s="48">
        <v>1.0326992500000001</v>
      </c>
      <c r="H119" s="48">
        <v>0.2701443</v>
      </c>
      <c r="I119" s="48">
        <v>0.65566559000000002</v>
      </c>
      <c r="J119" s="48"/>
      <c r="K119" s="427" t="s">
        <v>105</v>
      </c>
      <c r="L119" s="48">
        <v>5.9751100000000001E-2</v>
      </c>
      <c r="M119" s="48">
        <v>0.12767114999999998</v>
      </c>
      <c r="N119" s="48">
        <v>3.9897669999999996E-2</v>
      </c>
    </row>
    <row r="120" spans="1:14" x14ac:dyDescent="0.25">
      <c r="A120" s="427" t="s">
        <v>181</v>
      </c>
      <c r="B120" s="48">
        <v>11.5949893</v>
      </c>
      <c r="C120" s="48">
        <v>16.935532200000001</v>
      </c>
      <c r="D120" s="48">
        <v>15.622848730000001</v>
      </c>
      <c r="E120" s="48"/>
      <c r="F120" s="427" t="s">
        <v>381</v>
      </c>
      <c r="G120" s="48">
        <v>0.73013132999999997</v>
      </c>
      <c r="H120" s="48">
        <v>0</v>
      </c>
      <c r="I120" s="48">
        <v>0.63808847999999996</v>
      </c>
      <c r="J120" s="48"/>
      <c r="K120" s="427" t="s">
        <v>133</v>
      </c>
      <c r="L120" s="48">
        <v>1.1806599099999999</v>
      </c>
      <c r="M120" s="48">
        <v>9.8678269999999998E-2</v>
      </c>
      <c r="N120" s="48">
        <v>3.8573610000000001E-2</v>
      </c>
    </row>
    <row r="121" spans="1:14" x14ac:dyDescent="0.25">
      <c r="A121" s="427" t="s">
        <v>75</v>
      </c>
      <c r="B121" s="48">
        <v>17.235122180000001</v>
      </c>
      <c r="C121" s="48">
        <v>14.470424919999999</v>
      </c>
      <c r="D121" s="48">
        <v>15.555849820000001</v>
      </c>
      <c r="E121" s="48"/>
      <c r="F121" s="427" t="s">
        <v>17</v>
      </c>
      <c r="G121" s="48">
        <v>0.89332623</v>
      </c>
      <c r="H121" s="48">
        <v>1.2818124</v>
      </c>
      <c r="I121" s="48">
        <v>0.54336154000000003</v>
      </c>
      <c r="J121" s="48"/>
      <c r="K121" s="427" t="s">
        <v>104</v>
      </c>
      <c r="L121" s="48">
        <v>0.12709522000000001</v>
      </c>
      <c r="M121" s="48">
        <v>0.11510851</v>
      </c>
      <c r="N121" s="48">
        <v>3.630224E-2</v>
      </c>
    </row>
    <row r="122" spans="1:14" x14ac:dyDescent="0.25">
      <c r="A122" s="427" t="s">
        <v>63</v>
      </c>
      <c r="B122" s="48">
        <v>8.9257569199999995</v>
      </c>
      <c r="C122" s="48">
        <v>13.974203619999999</v>
      </c>
      <c r="D122" s="48">
        <v>14.48883198</v>
      </c>
      <c r="E122" s="48"/>
      <c r="F122" s="427" t="s">
        <v>203</v>
      </c>
      <c r="G122" s="48">
        <v>0.9883373299999999</v>
      </c>
      <c r="H122" s="48">
        <v>0.11847168</v>
      </c>
      <c r="I122" s="48">
        <v>0.50666021999999999</v>
      </c>
      <c r="J122" s="48"/>
      <c r="K122" s="427" t="s">
        <v>377</v>
      </c>
      <c r="L122" s="48">
        <v>9.7286200000000003E-3</v>
      </c>
      <c r="M122" s="48">
        <v>3.5436E-3</v>
      </c>
      <c r="N122" s="48">
        <v>3.6059000000000001E-2</v>
      </c>
    </row>
    <row r="123" spans="1:14" x14ac:dyDescent="0.25">
      <c r="A123" s="427" t="s">
        <v>8</v>
      </c>
      <c r="B123" s="48">
        <v>15.640633060000001</v>
      </c>
      <c r="C123" s="48">
        <v>25.059977889999999</v>
      </c>
      <c r="D123" s="48">
        <v>13.4965481</v>
      </c>
      <c r="E123" s="48"/>
      <c r="F123" s="427" t="s">
        <v>25</v>
      </c>
      <c r="G123" s="48">
        <v>1.1527340000000001E-2</v>
      </c>
      <c r="H123" s="48">
        <v>1.237952E-2</v>
      </c>
      <c r="I123" s="48">
        <v>0.50614479999999995</v>
      </c>
      <c r="J123" s="48"/>
      <c r="K123" s="427" t="s">
        <v>381</v>
      </c>
      <c r="L123" s="48">
        <v>0</v>
      </c>
      <c r="M123" s="48">
        <v>6.7926E-4</v>
      </c>
      <c r="N123" s="48">
        <v>3.4086279999999997E-2</v>
      </c>
    </row>
    <row r="124" spans="1:14" x14ac:dyDescent="0.25">
      <c r="A124" s="427" t="s">
        <v>204</v>
      </c>
      <c r="B124" s="48">
        <v>10.954490529999999</v>
      </c>
      <c r="C124" s="48">
        <v>15.79373247</v>
      </c>
      <c r="D124" s="48">
        <v>13.44131559</v>
      </c>
      <c r="E124" s="48"/>
      <c r="F124" s="427" t="s">
        <v>20</v>
      </c>
      <c r="G124" s="48">
        <v>0.31717307</v>
      </c>
      <c r="H124" s="48">
        <v>0.32712206999999999</v>
      </c>
      <c r="I124" s="48">
        <v>0.50518163999999999</v>
      </c>
      <c r="J124" s="48"/>
      <c r="K124" s="427" t="s">
        <v>128</v>
      </c>
      <c r="L124" s="48">
        <v>8.2937700000000007E-3</v>
      </c>
      <c r="M124" s="48">
        <v>0</v>
      </c>
      <c r="N124" s="48">
        <v>3.3277889999999997E-2</v>
      </c>
    </row>
    <row r="125" spans="1:14" x14ac:dyDescent="0.25">
      <c r="A125" s="427" t="s">
        <v>177</v>
      </c>
      <c r="B125" s="48">
        <v>7.4407055800000004</v>
      </c>
      <c r="C125" s="48">
        <v>16.64483813</v>
      </c>
      <c r="D125" s="48">
        <v>13.129413189999999</v>
      </c>
      <c r="E125" s="48"/>
      <c r="F125" s="427" t="s">
        <v>49</v>
      </c>
      <c r="G125" s="48">
        <v>0</v>
      </c>
      <c r="H125" s="48">
        <v>0</v>
      </c>
      <c r="I125" s="48">
        <v>0.49706108000000004</v>
      </c>
      <c r="J125" s="48"/>
      <c r="K125" s="427" t="s">
        <v>15</v>
      </c>
      <c r="L125" s="48">
        <v>7.7033000000000006E-3</v>
      </c>
      <c r="M125" s="48">
        <v>1.4115899999999999E-3</v>
      </c>
      <c r="N125" s="48">
        <v>3.31737E-2</v>
      </c>
    </row>
    <row r="126" spans="1:14" x14ac:dyDescent="0.25">
      <c r="A126" s="427" t="s">
        <v>48</v>
      </c>
      <c r="B126" s="48">
        <v>7.4300239900000005</v>
      </c>
      <c r="C126" s="48">
        <v>32.049592079999996</v>
      </c>
      <c r="D126" s="48">
        <v>13.016296179999999</v>
      </c>
      <c r="E126" s="48"/>
      <c r="F126" s="427" t="s">
        <v>115</v>
      </c>
      <c r="G126" s="48">
        <v>7.5996837900000003</v>
      </c>
      <c r="H126" s="48">
        <v>0.67293015</v>
      </c>
      <c r="I126" s="48">
        <v>0.47596034999999998</v>
      </c>
      <c r="J126" s="48"/>
      <c r="K126" s="427" t="s">
        <v>62</v>
      </c>
      <c r="L126" s="48">
        <v>0.15507416000000002</v>
      </c>
      <c r="M126" s="48">
        <v>8.1513719999999998E-2</v>
      </c>
      <c r="N126" s="48">
        <v>3.2608379999999999E-2</v>
      </c>
    </row>
    <row r="127" spans="1:14" x14ac:dyDescent="0.25">
      <c r="A127" s="427" t="s">
        <v>95</v>
      </c>
      <c r="B127" s="48">
        <v>12.11181799</v>
      </c>
      <c r="C127" s="48">
        <v>9.8293993700000097</v>
      </c>
      <c r="D127" s="48">
        <v>12.810759789999999</v>
      </c>
      <c r="E127" s="48"/>
      <c r="F127" s="427" t="s">
        <v>50</v>
      </c>
      <c r="G127" s="48">
        <v>0.39535559000000003</v>
      </c>
      <c r="H127" s="48">
        <v>0.24510685999999998</v>
      </c>
      <c r="I127" s="48">
        <v>0.47252340999999998</v>
      </c>
      <c r="J127" s="48"/>
      <c r="K127" s="427" t="s">
        <v>396</v>
      </c>
      <c r="L127" s="48">
        <v>0</v>
      </c>
      <c r="M127" s="48">
        <v>0</v>
      </c>
      <c r="N127" s="48">
        <v>3.0662889999999998E-2</v>
      </c>
    </row>
    <row r="128" spans="1:14" x14ac:dyDescent="0.25">
      <c r="A128" s="427" t="s">
        <v>11</v>
      </c>
      <c r="B128" s="48">
        <v>27.731563960000003</v>
      </c>
      <c r="C128" s="48">
        <v>14.957526289999999</v>
      </c>
      <c r="D128" s="48">
        <v>12.78735807</v>
      </c>
      <c r="E128" s="48"/>
      <c r="F128" s="427" t="s">
        <v>170</v>
      </c>
      <c r="G128" s="48">
        <v>2.39275744</v>
      </c>
      <c r="H128" s="48">
        <v>0.22543876000000002</v>
      </c>
      <c r="I128" s="48">
        <v>0.45136064000000004</v>
      </c>
      <c r="J128" s="48"/>
      <c r="K128" s="427" t="s">
        <v>98</v>
      </c>
      <c r="L128" s="48">
        <v>4.7404080000000001E-2</v>
      </c>
      <c r="M128" s="48">
        <v>5.0348949999999996E-2</v>
      </c>
      <c r="N128" s="48">
        <v>2.9480320000000001E-2</v>
      </c>
    </row>
    <row r="129" spans="1:14" x14ac:dyDescent="0.25">
      <c r="A129" s="427" t="s">
        <v>88</v>
      </c>
      <c r="B129" s="48">
        <v>19.475975179999999</v>
      </c>
      <c r="C129" s="48">
        <v>13.41953818</v>
      </c>
      <c r="D129" s="48">
        <v>12.453039050000001</v>
      </c>
      <c r="E129" s="48"/>
      <c r="F129" s="427" t="s">
        <v>185</v>
      </c>
      <c r="G129" s="48">
        <v>2.63045214</v>
      </c>
      <c r="H129" s="48">
        <v>34.043332679999999</v>
      </c>
      <c r="I129" s="48">
        <v>0.42508166999999997</v>
      </c>
      <c r="J129" s="48"/>
      <c r="K129" s="427" t="s">
        <v>125</v>
      </c>
      <c r="L129" s="48">
        <v>3.04584E-2</v>
      </c>
      <c r="M129" s="48">
        <v>2.6329089999999999E-2</v>
      </c>
      <c r="N129" s="48">
        <v>2.7548090000000001E-2</v>
      </c>
    </row>
    <row r="130" spans="1:14" x14ac:dyDescent="0.25">
      <c r="A130" s="427" t="s">
        <v>215</v>
      </c>
      <c r="B130" s="48">
        <v>6.5155752900000001</v>
      </c>
      <c r="C130" s="48">
        <v>9.8734089899999997</v>
      </c>
      <c r="D130" s="48">
        <v>12.0341091</v>
      </c>
      <c r="E130" s="48"/>
      <c r="F130" s="427" t="s">
        <v>103</v>
      </c>
      <c r="G130" s="48">
        <v>0.62734237000000004</v>
      </c>
      <c r="H130" s="48">
        <v>2.9853040600000003</v>
      </c>
      <c r="I130" s="48">
        <v>0.39980265999999998</v>
      </c>
      <c r="J130" s="48"/>
      <c r="K130" s="427" t="s">
        <v>351</v>
      </c>
      <c r="L130" s="48">
        <v>2.7409999999999999E-3</v>
      </c>
      <c r="M130" s="48">
        <v>0</v>
      </c>
      <c r="N130" s="48">
        <v>2.3733830000000001E-2</v>
      </c>
    </row>
    <row r="131" spans="1:14" x14ac:dyDescent="0.25">
      <c r="A131" s="427" t="s">
        <v>100</v>
      </c>
      <c r="B131" s="48">
        <v>10.51526565</v>
      </c>
      <c r="C131" s="48">
        <v>8.6217057200000013</v>
      </c>
      <c r="D131" s="48">
        <v>11.69178282</v>
      </c>
      <c r="E131" s="48"/>
      <c r="F131" s="427" t="s">
        <v>16</v>
      </c>
      <c r="G131" s="48">
        <v>4.5515857899999999</v>
      </c>
      <c r="H131" s="48">
        <v>2.4586945</v>
      </c>
      <c r="I131" s="48">
        <v>0.38783593</v>
      </c>
      <c r="J131" s="48"/>
      <c r="K131" s="427" t="s">
        <v>31</v>
      </c>
      <c r="L131" s="48">
        <v>1.5203800000000002E-3</v>
      </c>
      <c r="M131" s="48">
        <v>6.6685679999999997E-2</v>
      </c>
      <c r="N131" s="48">
        <v>2.0766220000000002E-2</v>
      </c>
    </row>
    <row r="132" spans="1:14" x14ac:dyDescent="0.25">
      <c r="A132" s="427" t="s">
        <v>205</v>
      </c>
      <c r="B132" s="48">
        <v>3.8464130499999998</v>
      </c>
      <c r="C132" s="48">
        <v>6.2105188499999997</v>
      </c>
      <c r="D132" s="48">
        <v>11.294809369999999</v>
      </c>
      <c r="E132" s="48"/>
      <c r="F132" s="427" t="s">
        <v>104</v>
      </c>
      <c r="G132" s="48">
        <v>0.20762139000000002</v>
      </c>
      <c r="H132" s="48">
        <v>1.7769834600000001</v>
      </c>
      <c r="I132" s="48">
        <v>0.35077414000000001</v>
      </c>
      <c r="J132" s="48"/>
      <c r="K132" s="427" t="s">
        <v>73</v>
      </c>
      <c r="L132" s="48">
        <v>7.1355500000000001E-3</v>
      </c>
      <c r="M132" s="48">
        <v>2.0926419999999998E-2</v>
      </c>
      <c r="N132" s="48">
        <v>1.9857700000000002E-2</v>
      </c>
    </row>
    <row r="133" spans="1:14" x14ac:dyDescent="0.25">
      <c r="A133" s="427" t="s">
        <v>175</v>
      </c>
      <c r="B133" s="48">
        <v>5.5509774800000002</v>
      </c>
      <c r="C133" s="48">
        <v>5.9301219100000004</v>
      </c>
      <c r="D133" s="48">
        <v>11.255272250000001</v>
      </c>
      <c r="E133" s="48"/>
      <c r="F133" s="427" t="s">
        <v>120</v>
      </c>
      <c r="G133" s="48">
        <v>0.99058454000000007</v>
      </c>
      <c r="H133" s="48">
        <v>0.70083631999999996</v>
      </c>
      <c r="I133" s="48">
        <v>0.32236756</v>
      </c>
      <c r="J133" s="48"/>
      <c r="K133" s="427" t="s">
        <v>129</v>
      </c>
      <c r="L133" s="48">
        <v>4.8107910000000004E-2</v>
      </c>
      <c r="M133" s="48">
        <v>7.4644929999999998E-2</v>
      </c>
      <c r="N133" s="48">
        <v>1.9371090000000001E-2</v>
      </c>
    </row>
    <row r="134" spans="1:14" x14ac:dyDescent="0.25">
      <c r="A134" s="427" t="s">
        <v>57</v>
      </c>
      <c r="B134" s="48">
        <v>3.3916825199999998</v>
      </c>
      <c r="C134" s="48">
        <v>9.8211448499999996</v>
      </c>
      <c r="D134" s="48">
        <v>11.100428279999999</v>
      </c>
      <c r="E134" s="48"/>
      <c r="F134" s="427" t="s">
        <v>198</v>
      </c>
      <c r="G134" s="48">
        <v>0.37389499999999998</v>
      </c>
      <c r="H134" s="48">
        <v>0.75360967000000001</v>
      </c>
      <c r="I134" s="48">
        <v>0.31674241999999997</v>
      </c>
      <c r="J134" s="48"/>
      <c r="K134" s="427" t="s">
        <v>69</v>
      </c>
      <c r="L134" s="48">
        <v>1.19907E-3</v>
      </c>
      <c r="M134" s="48">
        <v>0</v>
      </c>
      <c r="N134" s="48">
        <v>1.7441720000000001E-2</v>
      </c>
    </row>
    <row r="135" spans="1:14" x14ac:dyDescent="0.25">
      <c r="A135" s="427" t="s">
        <v>150</v>
      </c>
      <c r="B135" s="48">
        <v>6.7732679500000001</v>
      </c>
      <c r="C135" s="48">
        <v>13.306140619999999</v>
      </c>
      <c r="D135" s="48">
        <v>10.816086210000002</v>
      </c>
      <c r="E135" s="48"/>
      <c r="F135" s="427" t="s">
        <v>187</v>
      </c>
      <c r="G135" s="48">
        <v>2.0329419999999997E-2</v>
      </c>
      <c r="H135" s="48">
        <v>0.39229539000000002</v>
      </c>
      <c r="I135" s="48">
        <v>0.31294808000000002</v>
      </c>
      <c r="J135" s="48"/>
      <c r="K135" s="427" t="s">
        <v>24</v>
      </c>
      <c r="L135" s="48">
        <v>5.2705299999999998E-3</v>
      </c>
      <c r="M135" s="48">
        <v>0.77908124999999995</v>
      </c>
      <c r="N135" s="48">
        <v>1.6224889999999999E-2</v>
      </c>
    </row>
    <row r="136" spans="1:14" x14ac:dyDescent="0.25">
      <c r="A136" s="427" t="s">
        <v>64</v>
      </c>
      <c r="B136" s="48">
        <v>7.0309069400000004</v>
      </c>
      <c r="C136" s="48">
        <v>8.7314565200000001</v>
      </c>
      <c r="D136" s="48">
        <v>10.440139330000001</v>
      </c>
      <c r="E136" s="48"/>
      <c r="F136" s="427" t="s">
        <v>155</v>
      </c>
      <c r="G136" s="48">
        <v>1.9881074699999999</v>
      </c>
      <c r="H136" s="48">
        <v>1.4176483799999999</v>
      </c>
      <c r="I136" s="48">
        <v>0.30780072999999997</v>
      </c>
      <c r="J136" s="48"/>
      <c r="K136" s="427" t="s">
        <v>110</v>
      </c>
      <c r="L136" s="48">
        <v>1.3772000000000001E-3</v>
      </c>
      <c r="M136" s="48">
        <v>1.09606E-3</v>
      </c>
      <c r="N136" s="48">
        <v>1.619073E-2</v>
      </c>
    </row>
    <row r="137" spans="1:14" x14ac:dyDescent="0.25">
      <c r="A137" s="427" t="s">
        <v>126</v>
      </c>
      <c r="B137" s="48">
        <v>15.94846482</v>
      </c>
      <c r="C137" s="48">
        <v>11.09097592</v>
      </c>
      <c r="D137" s="48">
        <v>10.208682660000001</v>
      </c>
      <c r="E137" s="48"/>
      <c r="F137" s="427" t="s">
        <v>360</v>
      </c>
      <c r="G137" s="48">
        <v>17.472120449999998</v>
      </c>
      <c r="H137" s="48">
        <v>47.993984149999996</v>
      </c>
      <c r="I137" s="48">
        <v>0.29072022999999997</v>
      </c>
      <c r="J137" s="48"/>
      <c r="K137" s="427" t="s">
        <v>25</v>
      </c>
      <c r="L137" s="48">
        <v>2.8503339999999999E-2</v>
      </c>
      <c r="M137" s="48">
        <v>1.3634760000000001E-2</v>
      </c>
      <c r="N137" s="48">
        <v>1.5243930000000001E-2</v>
      </c>
    </row>
    <row r="138" spans="1:14" x14ac:dyDescent="0.25">
      <c r="A138" s="427" t="s">
        <v>94</v>
      </c>
      <c r="B138" s="48">
        <v>35.299739459999998</v>
      </c>
      <c r="C138" s="48">
        <v>34.170760680000001</v>
      </c>
      <c r="D138" s="48">
        <v>10.20579002</v>
      </c>
      <c r="E138" s="48"/>
      <c r="F138" s="427" t="s">
        <v>166</v>
      </c>
      <c r="G138" s="48">
        <v>3.2517221099999998</v>
      </c>
      <c r="H138" s="48">
        <v>0.47067562000000002</v>
      </c>
      <c r="I138" s="48">
        <v>0.27725469000000003</v>
      </c>
      <c r="J138" s="48"/>
      <c r="K138" s="427" t="s">
        <v>352</v>
      </c>
      <c r="L138" s="48">
        <v>2.0016220000000001E-2</v>
      </c>
      <c r="M138" s="48">
        <v>3.8400000000000001E-3</v>
      </c>
      <c r="N138" s="48">
        <v>1.3310509999999999E-2</v>
      </c>
    </row>
    <row r="139" spans="1:14" x14ac:dyDescent="0.25">
      <c r="A139" s="427" t="s">
        <v>147</v>
      </c>
      <c r="B139" s="48">
        <v>5.7343304499999999</v>
      </c>
      <c r="C139" s="48">
        <v>5.6662168399999997</v>
      </c>
      <c r="D139" s="48">
        <v>9.0125425999999997</v>
      </c>
      <c r="E139" s="48"/>
      <c r="F139" s="427" t="s">
        <v>43</v>
      </c>
      <c r="G139" s="48">
        <v>0.80874570999999995</v>
      </c>
      <c r="H139" s="48">
        <v>0.33540225000000001</v>
      </c>
      <c r="I139" s="48">
        <v>0.27231859000000003</v>
      </c>
      <c r="J139" s="48"/>
      <c r="K139" s="427" t="s">
        <v>87</v>
      </c>
      <c r="L139" s="48">
        <v>4.0623300000000003E-3</v>
      </c>
      <c r="M139" s="48">
        <v>4.0920999999999997E-4</v>
      </c>
      <c r="N139" s="48">
        <v>1.252312E-2</v>
      </c>
    </row>
    <row r="140" spans="1:14" x14ac:dyDescent="0.25">
      <c r="A140" s="427" t="s">
        <v>212</v>
      </c>
      <c r="B140" s="48">
        <v>10.897489720000001</v>
      </c>
      <c r="C140" s="48">
        <v>6.0775054699999993</v>
      </c>
      <c r="D140" s="48">
        <v>8.9373996600000094</v>
      </c>
      <c r="E140" s="48"/>
      <c r="F140" s="427" t="s">
        <v>207</v>
      </c>
      <c r="G140" s="48">
        <v>1.82461604</v>
      </c>
      <c r="H140" s="48">
        <v>3.8884267100000001</v>
      </c>
      <c r="I140" s="48">
        <v>0.27166742999999999</v>
      </c>
      <c r="J140" s="48"/>
      <c r="K140" s="427" t="s">
        <v>123</v>
      </c>
      <c r="L140" s="48">
        <v>0</v>
      </c>
      <c r="M140" s="48">
        <v>0</v>
      </c>
      <c r="N140" s="48">
        <v>1.2387239999999999E-2</v>
      </c>
    </row>
    <row r="141" spans="1:14" x14ac:dyDescent="0.25">
      <c r="A141" s="427" t="s">
        <v>67</v>
      </c>
      <c r="B141" s="48">
        <v>5.9846354900000005</v>
      </c>
      <c r="C141" s="48">
        <v>4.6636011699999997</v>
      </c>
      <c r="D141" s="48">
        <v>8.7850722500000007</v>
      </c>
      <c r="E141" s="48"/>
      <c r="F141" s="427" t="s">
        <v>191</v>
      </c>
      <c r="G141" s="48">
        <v>0.59668109999999996</v>
      </c>
      <c r="H141" s="48">
        <v>0.31336955</v>
      </c>
      <c r="I141" s="48">
        <v>0.26792290999999996</v>
      </c>
      <c r="J141" s="48"/>
      <c r="K141" s="427" t="s">
        <v>182</v>
      </c>
      <c r="L141" s="48">
        <v>6.6487999999999996E-4</v>
      </c>
      <c r="M141" s="48">
        <v>2.1239399999999999E-3</v>
      </c>
      <c r="N141" s="48">
        <v>1.2098340000000001E-2</v>
      </c>
    </row>
    <row r="142" spans="1:14" x14ac:dyDescent="0.25">
      <c r="A142" s="427" t="s">
        <v>25</v>
      </c>
      <c r="B142" s="48">
        <v>7.5864402100000001</v>
      </c>
      <c r="C142" s="48">
        <v>7.5615338899999998</v>
      </c>
      <c r="D142" s="48">
        <v>8.5572180699999887</v>
      </c>
      <c r="E142" s="48"/>
      <c r="F142" s="427" t="s">
        <v>183</v>
      </c>
      <c r="G142" s="48">
        <v>1.6979959999999999E-2</v>
      </c>
      <c r="H142" s="48">
        <v>0.10322450999999999</v>
      </c>
      <c r="I142" s="48">
        <v>0.26777635999999999</v>
      </c>
      <c r="J142" s="48"/>
      <c r="K142" s="427" t="s">
        <v>76</v>
      </c>
      <c r="L142" s="48">
        <v>0.31634538000000001</v>
      </c>
      <c r="M142" s="48">
        <v>3.9848710000000002E-2</v>
      </c>
      <c r="N142" s="48">
        <v>1.132762E-2</v>
      </c>
    </row>
    <row r="143" spans="1:14" x14ac:dyDescent="0.25">
      <c r="A143" s="427" t="s">
        <v>6</v>
      </c>
      <c r="B143" s="48">
        <v>7.5726813600000007</v>
      </c>
      <c r="C143" s="48">
        <v>8.2383237600000001</v>
      </c>
      <c r="D143" s="48">
        <v>8.2599757300000007</v>
      </c>
      <c r="E143" s="48"/>
      <c r="F143" s="427" t="s">
        <v>93</v>
      </c>
      <c r="G143" s="48">
        <v>7.1432979100000003</v>
      </c>
      <c r="H143" s="48">
        <v>0.69934270999999992</v>
      </c>
      <c r="I143" s="48">
        <v>0.26315253000000005</v>
      </c>
      <c r="J143" s="48"/>
      <c r="K143" s="427" t="s">
        <v>114</v>
      </c>
      <c r="L143" s="48">
        <v>1.7254889999999998E-2</v>
      </c>
      <c r="M143" s="48">
        <v>1.2750959999999999E-2</v>
      </c>
      <c r="N143" s="48">
        <v>1.1266709999999999E-2</v>
      </c>
    </row>
    <row r="144" spans="1:14" x14ac:dyDescent="0.25">
      <c r="A144" s="427" t="s">
        <v>167</v>
      </c>
      <c r="B144" s="48">
        <v>10.43971597</v>
      </c>
      <c r="C144" s="48">
        <v>5.0441784600000004</v>
      </c>
      <c r="D144" s="48">
        <v>8.2236918600000006</v>
      </c>
      <c r="E144" s="48"/>
      <c r="F144" s="427" t="s">
        <v>119</v>
      </c>
      <c r="G144" s="48">
        <v>0.51842328999999998</v>
      </c>
      <c r="H144" s="48">
        <v>1.14297326</v>
      </c>
      <c r="I144" s="48">
        <v>0.25100349</v>
      </c>
      <c r="J144" s="48"/>
      <c r="K144" s="427" t="s">
        <v>29</v>
      </c>
      <c r="L144" s="48">
        <v>4.0507999999999999E-4</v>
      </c>
      <c r="M144" s="48">
        <v>1.5331000000000001E-4</v>
      </c>
      <c r="N144" s="48">
        <v>1.068885E-2</v>
      </c>
    </row>
    <row r="145" spans="1:14" x14ac:dyDescent="0.25">
      <c r="A145" s="427" t="s">
        <v>184</v>
      </c>
      <c r="B145" s="48">
        <v>6.4022942199999999</v>
      </c>
      <c r="C145" s="48">
        <v>8.8803143599999999</v>
      </c>
      <c r="D145" s="48">
        <v>7.9927516199999999</v>
      </c>
      <c r="E145" s="48"/>
      <c r="F145" s="427" t="s">
        <v>107</v>
      </c>
      <c r="G145" s="48">
        <v>0.22134758999999998</v>
      </c>
      <c r="H145" s="48">
        <v>0.19580942000000001</v>
      </c>
      <c r="I145" s="48">
        <v>0.24815523</v>
      </c>
      <c r="J145" s="48"/>
      <c r="K145" s="427" t="s">
        <v>374</v>
      </c>
      <c r="L145" s="48">
        <v>0</v>
      </c>
      <c r="M145" s="48">
        <v>0</v>
      </c>
      <c r="N145" s="48">
        <v>1.0484830000000001E-2</v>
      </c>
    </row>
    <row r="146" spans="1:14" x14ac:dyDescent="0.25">
      <c r="A146" s="427" t="s">
        <v>136</v>
      </c>
      <c r="B146" s="48">
        <v>8.6959116600000215</v>
      </c>
      <c r="C146" s="48">
        <v>8.2593712700000097</v>
      </c>
      <c r="D146" s="48">
        <v>7.6195784200000105</v>
      </c>
      <c r="E146" s="48"/>
      <c r="F146" s="427" t="s">
        <v>153</v>
      </c>
      <c r="G146" s="48">
        <v>1.56575028</v>
      </c>
      <c r="H146" s="48">
        <v>2.93487257</v>
      </c>
      <c r="I146" s="48">
        <v>0.23509309</v>
      </c>
      <c r="J146" s="48"/>
      <c r="K146" s="427" t="s">
        <v>10</v>
      </c>
      <c r="L146" s="48">
        <v>0.38110674</v>
      </c>
      <c r="M146" s="48">
        <v>3.3909999999999999E-5</v>
      </c>
      <c r="N146" s="48">
        <v>1.045107E-2</v>
      </c>
    </row>
    <row r="147" spans="1:14" x14ac:dyDescent="0.25">
      <c r="A147" s="427" t="s">
        <v>161</v>
      </c>
      <c r="B147" s="48">
        <v>8.9645625999999989</v>
      </c>
      <c r="C147" s="48">
        <v>9.4094002700000114</v>
      </c>
      <c r="D147" s="48">
        <v>7.5515899800000099</v>
      </c>
      <c r="E147" s="48"/>
      <c r="F147" s="427" t="s">
        <v>19</v>
      </c>
      <c r="G147" s="48">
        <v>0.14130128</v>
      </c>
      <c r="H147" s="48">
        <v>0.30437828</v>
      </c>
      <c r="I147" s="48">
        <v>0.22138074999999999</v>
      </c>
      <c r="J147" s="48"/>
      <c r="K147" s="427" t="s">
        <v>107</v>
      </c>
      <c r="L147" s="48">
        <v>8.4619239999999998E-2</v>
      </c>
      <c r="M147" s="48">
        <v>1.1208699999999999E-3</v>
      </c>
      <c r="N147" s="48">
        <v>9.4907900000000007E-3</v>
      </c>
    </row>
    <row r="148" spans="1:14" x14ac:dyDescent="0.25">
      <c r="A148" s="427" t="s">
        <v>71</v>
      </c>
      <c r="B148" s="48">
        <v>10.322517210000001</v>
      </c>
      <c r="C148" s="48">
        <v>12.328211359999999</v>
      </c>
      <c r="D148" s="48">
        <v>7.2456147400000006</v>
      </c>
      <c r="E148" s="48"/>
      <c r="F148" s="427" t="s">
        <v>114</v>
      </c>
      <c r="G148" s="48">
        <v>0.92356684999999994</v>
      </c>
      <c r="H148" s="48">
        <v>0.92643339000000002</v>
      </c>
      <c r="I148" s="48">
        <v>0.20904608999999999</v>
      </c>
      <c r="J148" s="48"/>
      <c r="K148" s="427" t="s">
        <v>185</v>
      </c>
      <c r="L148" s="48">
        <v>0.12986502</v>
      </c>
      <c r="M148" s="48">
        <v>7.7930899999999999E-3</v>
      </c>
      <c r="N148" s="48">
        <v>8.0426400000000002E-3</v>
      </c>
    </row>
    <row r="149" spans="1:14" x14ac:dyDescent="0.25">
      <c r="A149" s="427" t="s">
        <v>111</v>
      </c>
      <c r="B149" s="48">
        <v>4.8708958899999999</v>
      </c>
      <c r="C149" s="48">
        <v>2.1315022900000002</v>
      </c>
      <c r="D149" s="48">
        <v>6.7796480999999993</v>
      </c>
      <c r="E149" s="48"/>
      <c r="F149" s="427" t="s">
        <v>196</v>
      </c>
      <c r="G149" s="48">
        <v>1.4648744499999999</v>
      </c>
      <c r="H149" s="48">
        <v>0.52288665000000001</v>
      </c>
      <c r="I149" s="48">
        <v>0.18136437</v>
      </c>
      <c r="J149" s="48"/>
      <c r="K149" s="427" t="s">
        <v>64</v>
      </c>
      <c r="L149" s="48">
        <v>0</v>
      </c>
      <c r="M149" s="48">
        <v>0</v>
      </c>
      <c r="N149" s="48">
        <v>7.9755299999999998E-3</v>
      </c>
    </row>
    <row r="150" spans="1:14" x14ac:dyDescent="0.25">
      <c r="A150" s="427" t="s">
        <v>120</v>
      </c>
      <c r="B150" s="48">
        <v>6.1910792300000006</v>
      </c>
      <c r="C150" s="48">
        <v>6.6978381300000098</v>
      </c>
      <c r="D150" s="48">
        <v>6.6120033300000003</v>
      </c>
      <c r="E150" s="48"/>
      <c r="F150" s="427" t="s">
        <v>121</v>
      </c>
      <c r="G150" s="48">
        <v>0</v>
      </c>
      <c r="H150" s="48">
        <v>0</v>
      </c>
      <c r="I150" s="48">
        <v>0.16872501000000001</v>
      </c>
      <c r="J150" s="48"/>
      <c r="K150" s="427" t="s">
        <v>21</v>
      </c>
      <c r="L150" s="48">
        <v>6.3442999999999995E-4</v>
      </c>
      <c r="M150" s="48">
        <v>1.08537E-3</v>
      </c>
      <c r="N150" s="48">
        <v>6.5888299999999995E-3</v>
      </c>
    </row>
    <row r="151" spans="1:14" x14ac:dyDescent="0.25">
      <c r="A151" s="427" t="s">
        <v>978</v>
      </c>
      <c r="B151" s="48">
        <v>10.180577029999998</v>
      </c>
      <c r="C151" s="48">
        <v>8.9003536700000101</v>
      </c>
      <c r="D151" s="48">
        <v>6.5280536799999993</v>
      </c>
      <c r="E151" s="48"/>
      <c r="F151" s="427" t="s">
        <v>357</v>
      </c>
      <c r="G151" s="48">
        <v>6.3320600000000005E-3</v>
      </c>
      <c r="H151" s="48">
        <v>0.19717717000000001</v>
      </c>
      <c r="I151" s="48">
        <v>0.15869557000000001</v>
      </c>
      <c r="J151" s="48"/>
      <c r="K151" s="427" t="s">
        <v>23</v>
      </c>
      <c r="L151" s="48">
        <v>8.1789099999999993E-3</v>
      </c>
      <c r="M151" s="48">
        <v>4.9308999999999996E-4</v>
      </c>
      <c r="N151" s="48">
        <v>6.2558100000000005E-3</v>
      </c>
    </row>
    <row r="152" spans="1:14" x14ac:dyDescent="0.25">
      <c r="A152" s="427" t="s">
        <v>129</v>
      </c>
      <c r="B152" s="48">
        <v>4.6130600800000003</v>
      </c>
      <c r="C152" s="48">
        <v>6.3125339800000004</v>
      </c>
      <c r="D152" s="48">
        <v>6.3672557699999999</v>
      </c>
      <c r="E152" s="48"/>
      <c r="F152" s="427" t="s">
        <v>92</v>
      </c>
      <c r="G152" s="48">
        <v>2.533989E-2</v>
      </c>
      <c r="H152" s="48">
        <v>0.12834828000000001</v>
      </c>
      <c r="I152" s="48">
        <v>0.15662857999999999</v>
      </c>
      <c r="J152" s="48"/>
      <c r="K152" s="427" t="s">
        <v>65</v>
      </c>
      <c r="L152" s="48">
        <v>0</v>
      </c>
      <c r="M152" s="48">
        <v>0</v>
      </c>
      <c r="N152" s="48">
        <v>5.9846999999999999E-3</v>
      </c>
    </row>
    <row r="153" spans="1:14" x14ac:dyDescent="0.25">
      <c r="A153" s="427" t="s">
        <v>114</v>
      </c>
      <c r="B153" s="48">
        <v>6.2858512900000001</v>
      </c>
      <c r="C153" s="48">
        <v>5.5092463799999996</v>
      </c>
      <c r="D153" s="48">
        <v>6.1486927599999994</v>
      </c>
      <c r="E153" s="48"/>
      <c r="F153" s="427" t="s">
        <v>136</v>
      </c>
      <c r="G153" s="48">
        <v>0.67152706000000006</v>
      </c>
      <c r="H153" s="48">
        <v>0.50900385999999997</v>
      </c>
      <c r="I153" s="48">
        <v>0.15373320999999998</v>
      </c>
      <c r="J153" s="48"/>
      <c r="K153" s="427" t="s">
        <v>26</v>
      </c>
      <c r="L153" s="48">
        <v>1.7975400000000002E-2</v>
      </c>
      <c r="M153" s="48">
        <v>0</v>
      </c>
      <c r="N153" s="48">
        <v>5.5386800000000007E-3</v>
      </c>
    </row>
    <row r="154" spans="1:14" x14ac:dyDescent="0.25">
      <c r="A154" s="427" t="s">
        <v>213</v>
      </c>
      <c r="B154" s="48">
        <v>9.0117705399999988</v>
      </c>
      <c r="C154" s="48">
        <v>5.2752840399999901</v>
      </c>
      <c r="D154" s="48">
        <v>5.8350038399999997</v>
      </c>
      <c r="E154" s="48"/>
      <c r="F154" s="427" t="s">
        <v>18</v>
      </c>
      <c r="G154" s="48">
        <v>0.21681751000000002</v>
      </c>
      <c r="H154" s="48">
        <v>0.13053814999999999</v>
      </c>
      <c r="I154" s="48">
        <v>0.15254775000000001</v>
      </c>
      <c r="J154" s="48"/>
      <c r="K154" s="427" t="s">
        <v>108</v>
      </c>
      <c r="L154" s="48">
        <v>2.9305040000000001E-2</v>
      </c>
      <c r="M154" s="48">
        <v>7.8787500000000003E-3</v>
      </c>
      <c r="N154" s="48">
        <v>5.37025E-3</v>
      </c>
    </row>
    <row r="155" spans="1:14" x14ac:dyDescent="0.25">
      <c r="A155" s="427" t="s">
        <v>109</v>
      </c>
      <c r="B155" s="48">
        <v>4.0604113100000001</v>
      </c>
      <c r="C155" s="48">
        <v>4.8346009699999994</v>
      </c>
      <c r="D155" s="48">
        <v>5.7478507900000002</v>
      </c>
      <c r="E155" s="48"/>
      <c r="F155" s="427" t="s">
        <v>60</v>
      </c>
      <c r="G155" s="48">
        <v>0.29857297999999999</v>
      </c>
      <c r="H155" s="48">
        <v>0.10441052000000001</v>
      </c>
      <c r="I155" s="48">
        <v>0.10504713</v>
      </c>
      <c r="J155" s="48"/>
      <c r="K155" s="427" t="s">
        <v>139</v>
      </c>
      <c r="L155" s="48">
        <v>1.8381199999999999E-3</v>
      </c>
      <c r="M155" s="48">
        <v>2.7520900000000001E-2</v>
      </c>
      <c r="N155" s="48">
        <v>4.3538299999999995E-3</v>
      </c>
    </row>
    <row r="156" spans="1:14" x14ac:dyDescent="0.25">
      <c r="A156" s="427" t="s">
        <v>141</v>
      </c>
      <c r="B156" s="48">
        <v>0.43697546999999998</v>
      </c>
      <c r="C156" s="48">
        <v>0.11892925999999999</v>
      </c>
      <c r="D156" s="48">
        <v>5.6629562499999997</v>
      </c>
      <c r="E156" s="48"/>
      <c r="F156" s="427" t="s">
        <v>168</v>
      </c>
      <c r="G156" s="48">
        <v>0.69709390999999998</v>
      </c>
      <c r="H156" s="48">
        <v>3.3999806100000001</v>
      </c>
      <c r="I156" s="48">
        <v>0.10491533</v>
      </c>
      <c r="J156" s="48"/>
      <c r="K156" s="427" t="s">
        <v>70</v>
      </c>
      <c r="L156" s="48">
        <v>1.0795600000000001E-2</v>
      </c>
      <c r="M156" s="48">
        <v>2.0882869999999998E-2</v>
      </c>
      <c r="N156" s="48">
        <v>4.3114899999999994E-3</v>
      </c>
    </row>
    <row r="157" spans="1:14" x14ac:dyDescent="0.25">
      <c r="A157" s="427" t="s">
        <v>187</v>
      </c>
      <c r="B157" s="48">
        <v>8.5103067499999998</v>
      </c>
      <c r="C157" s="48">
        <v>7.0339108000000001</v>
      </c>
      <c r="D157" s="48">
        <v>5.6317654099999999</v>
      </c>
      <c r="E157" s="48"/>
      <c r="F157" s="427" t="s">
        <v>351</v>
      </c>
      <c r="G157" s="48">
        <v>9.7798999999999998E-4</v>
      </c>
      <c r="H157" s="48">
        <v>0.64025787000000001</v>
      </c>
      <c r="I157" s="48">
        <v>0.10340889</v>
      </c>
      <c r="J157" s="48"/>
      <c r="K157" s="427" t="s">
        <v>382</v>
      </c>
      <c r="L157" s="48">
        <v>1.9501E-3</v>
      </c>
      <c r="M157" s="48">
        <v>1.1922289399999999</v>
      </c>
      <c r="N157" s="48">
        <v>3.5010200000000001E-3</v>
      </c>
    </row>
    <row r="158" spans="1:14" x14ac:dyDescent="0.25">
      <c r="A158" s="427" t="s">
        <v>164</v>
      </c>
      <c r="B158" s="48">
        <v>4.9575302400000005</v>
      </c>
      <c r="C158" s="48">
        <v>7.6326993900000097</v>
      </c>
      <c r="D158" s="48">
        <v>5.0910232199999994</v>
      </c>
      <c r="E158" s="48"/>
      <c r="F158" s="427" t="s">
        <v>204</v>
      </c>
      <c r="G158" s="48">
        <v>7.6137570000000002E-2</v>
      </c>
      <c r="H158" s="48">
        <v>0.26142729000000003</v>
      </c>
      <c r="I158" s="48">
        <v>9.797604E-2</v>
      </c>
      <c r="J158" s="48"/>
      <c r="K158" s="427" t="s">
        <v>22</v>
      </c>
      <c r="L158" s="48">
        <v>6.4100900000000002E-3</v>
      </c>
      <c r="M158" s="48">
        <v>5.0390699999999997E-3</v>
      </c>
      <c r="N158" s="48">
        <v>3.3595600000000002E-3</v>
      </c>
    </row>
    <row r="159" spans="1:14" x14ac:dyDescent="0.25">
      <c r="A159" s="427" t="s">
        <v>383</v>
      </c>
      <c r="B159" s="48">
        <v>7.0177987000000002</v>
      </c>
      <c r="C159" s="48">
        <v>2.8928511299999999</v>
      </c>
      <c r="D159" s="48">
        <v>4.9925547100000003</v>
      </c>
      <c r="E159" s="48"/>
      <c r="F159" s="427" t="s">
        <v>108</v>
      </c>
      <c r="G159" s="48">
        <v>6.2413639999999999E-2</v>
      </c>
      <c r="H159" s="48">
        <v>0.30374185999999997</v>
      </c>
      <c r="I159" s="48">
        <v>9.6220820000000012E-2</v>
      </c>
      <c r="J159" s="48"/>
      <c r="K159" s="427" t="s">
        <v>5</v>
      </c>
      <c r="L159" s="48">
        <v>1.17235E-3</v>
      </c>
      <c r="M159" s="48">
        <v>3.8310000000000002E-3</v>
      </c>
      <c r="N159" s="48">
        <v>2.99235E-3</v>
      </c>
    </row>
    <row r="160" spans="1:14" x14ac:dyDescent="0.25">
      <c r="A160" s="427" t="s">
        <v>201</v>
      </c>
      <c r="B160" s="48">
        <v>4.0044425499999994</v>
      </c>
      <c r="C160" s="48">
        <v>2.29013467</v>
      </c>
      <c r="D160" s="48">
        <v>4.9261732399999998</v>
      </c>
      <c r="E160" s="48"/>
      <c r="F160" s="427" t="s">
        <v>98</v>
      </c>
      <c r="G160" s="48">
        <v>3.234625E-2</v>
      </c>
      <c r="H160" s="48">
        <v>0.12912972</v>
      </c>
      <c r="I160" s="48">
        <v>9.600881E-2</v>
      </c>
      <c r="J160" s="48"/>
      <c r="K160" s="427" t="s">
        <v>94</v>
      </c>
      <c r="L160" s="48">
        <v>0.99330641000000008</v>
      </c>
      <c r="M160" s="48">
        <v>1.09993125</v>
      </c>
      <c r="N160" s="48">
        <v>2.9069400000000002E-3</v>
      </c>
    </row>
    <row r="161" spans="1:14" x14ac:dyDescent="0.25">
      <c r="A161" s="427" t="s">
        <v>382</v>
      </c>
      <c r="B161" s="48">
        <v>1.5171245900000001</v>
      </c>
      <c r="C161" s="48">
        <v>1.3925427500000001</v>
      </c>
      <c r="D161" s="48">
        <v>4.89458225</v>
      </c>
      <c r="E161" s="48"/>
      <c r="F161" s="427" t="s">
        <v>35</v>
      </c>
      <c r="G161" s="48">
        <v>1.6297899999999999E-3</v>
      </c>
      <c r="H161" s="48">
        <v>5.5618100000000004E-3</v>
      </c>
      <c r="I161" s="48">
        <v>9.5960500000000004E-2</v>
      </c>
      <c r="J161" s="48"/>
      <c r="K161" s="427" t="s">
        <v>47</v>
      </c>
      <c r="L161" s="48">
        <v>1.4789719999999999E-2</v>
      </c>
      <c r="M161" s="48">
        <v>0.33007896000000003</v>
      </c>
      <c r="N161" s="48">
        <v>2.2532899999999998E-3</v>
      </c>
    </row>
    <row r="162" spans="1:14" x14ac:dyDescent="0.25">
      <c r="A162" s="427" t="s">
        <v>87</v>
      </c>
      <c r="B162" s="48">
        <v>7.5323163300000004</v>
      </c>
      <c r="C162" s="48">
        <v>4.9869950000000003</v>
      </c>
      <c r="D162" s="48">
        <v>4.64186531</v>
      </c>
      <c r="E162" s="48"/>
      <c r="F162" s="427" t="s">
        <v>72</v>
      </c>
      <c r="G162" s="48">
        <v>0.55905163999999996</v>
      </c>
      <c r="H162" s="48">
        <v>0.22028302999999999</v>
      </c>
      <c r="I162" s="48">
        <v>9.3860449999999998E-2</v>
      </c>
      <c r="J162" s="48"/>
      <c r="K162" s="427" t="s">
        <v>19</v>
      </c>
      <c r="L162" s="48">
        <v>3.9206000000000001E-4</v>
      </c>
      <c r="M162" s="48">
        <v>6.539400000000001E-4</v>
      </c>
      <c r="N162" s="48">
        <v>2.2164400000000001E-3</v>
      </c>
    </row>
    <row r="163" spans="1:14" x14ac:dyDescent="0.25">
      <c r="A163" s="427" t="s">
        <v>206</v>
      </c>
      <c r="B163" s="48">
        <v>3.9739331299999998</v>
      </c>
      <c r="C163" s="48">
        <v>6.4594293299999999</v>
      </c>
      <c r="D163" s="48">
        <v>4.5461672999999996</v>
      </c>
      <c r="E163" s="48"/>
      <c r="F163" s="427" t="s">
        <v>9</v>
      </c>
      <c r="G163" s="48">
        <v>0.224437</v>
      </c>
      <c r="H163" s="48">
        <v>9.7403879999999998E-2</v>
      </c>
      <c r="I163" s="48">
        <v>8.8364990000000004E-2</v>
      </c>
      <c r="J163" s="48"/>
      <c r="K163" s="427" t="s">
        <v>18</v>
      </c>
      <c r="L163" s="48">
        <v>7.8307000000000008E-4</v>
      </c>
      <c r="M163" s="48">
        <v>5.1781099999999997E-3</v>
      </c>
      <c r="N163" s="48">
        <v>2.1986700000000002E-3</v>
      </c>
    </row>
    <row r="164" spans="1:14" x14ac:dyDescent="0.25">
      <c r="A164" s="427" t="s">
        <v>378</v>
      </c>
      <c r="B164" s="48">
        <v>11.33711211</v>
      </c>
      <c r="C164" s="48">
        <v>5.1260171400000001</v>
      </c>
      <c r="D164" s="48">
        <v>4.4977940300000006</v>
      </c>
      <c r="E164" s="48"/>
      <c r="F164" s="427" t="s">
        <v>201</v>
      </c>
      <c r="G164" s="48">
        <v>1.3661718300000001</v>
      </c>
      <c r="H164" s="48">
        <v>2.7230080299999999</v>
      </c>
      <c r="I164" s="48">
        <v>8.0489050000000006E-2</v>
      </c>
      <c r="J164" s="48"/>
      <c r="K164" s="427" t="s">
        <v>148</v>
      </c>
      <c r="L164" s="48">
        <v>4.6267999999999998E-4</v>
      </c>
      <c r="M164" s="48">
        <v>0.2401047</v>
      </c>
      <c r="N164" s="48">
        <v>2.1628200000000002E-3</v>
      </c>
    </row>
    <row r="165" spans="1:14" x14ac:dyDescent="0.25">
      <c r="A165" s="427" t="s">
        <v>143</v>
      </c>
      <c r="B165" s="48">
        <v>12.50205143</v>
      </c>
      <c r="C165" s="48">
        <v>7.07296762</v>
      </c>
      <c r="D165" s="48">
        <v>4.1086973000000002</v>
      </c>
      <c r="E165" s="48"/>
      <c r="F165" s="427" t="s">
        <v>368</v>
      </c>
      <c r="G165" s="48">
        <v>0</v>
      </c>
      <c r="H165" s="48">
        <v>220.03233347</v>
      </c>
      <c r="I165" s="48">
        <v>7.1872600000000009E-2</v>
      </c>
      <c r="J165" s="48"/>
      <c r="K165" s="427" t="s">
        <v>126</v>
      </c>
      <c r="L165" s="48">
        <v>8.2351100000000003E-3</v>
      </c>
      <c r="M165" s="48">
        <v>9.3120000000000008E-3</v>
      </c>
      <c r="N165" s="48">
        <v>2.0019400000000002E-3</v>
      </c>
    </row>
    <row r="166" spans="1:14" x14ac:dyDescent="0.25">
      <c r="A166" s="427" t="s">
        <v>155</v>
      </c>
      <c r="B166" s="48">
        <v>3.9980333799999999</v>
      </c>
      <c r="C166" s="48">
        <v>6.0510273200000002</v>
      </c>
      <c r="D166" s="48">
        <v>3.97227189</v>
      </c>
      <c r="E166" s="48"/>
      <c r="F166" s="427" t="s">
        <v>212</v>
      </c>
      <c r="G166" s="48">
        <v>0.12836003999999998</v>
      </c>
      <c r="H166" s="48">
        <v>0.29681439000000004</v>
      </c>
      <c r="I166" s="48">
        <v>6.9625960000000001E-2</v>
      </c>
      <c r="J166" s="48"/>
      <c r="K166" s="427" t="s">
        <v>187</v>
      </c>
      <c r="L166" s="48">
        <v>1.427847E-2</v>
      </c>
      <c r="M166" s="48">
        <v>0</v>
      </c>
      <c r="N166" s="48">
        <v>1.8255599999999999E-3</v>
      </c>
    </row>
    <row r="167" spans="1:14" x14ac:dyDescent="0.25">
      <c r="A167" s="427" t="s">
        <v>149</v>
      </c>
      <c r="B167" s="48">
        <v>2.0739366599999998</v>
      </c>
      <c r="C167" s="48">
        <v>7.1970592199999999</v>
      </c>
      <c r="D167" s="48">
        <v>3.8656313</v>
      </c>
      <c r="E167" s="48"/>
      <c r="F167" s="427" t="s">
        <v>26</v>
      </c>
      <c r="G167" s="48">
        <v>3.9929650000000004E-2</v>
      </c>
      <c r="H167" s="48">
        <v>3.2392690000000002E-2</v>
      </c>
      <c r="I167" s="48">
        <v>6.128517E-2</v>
      </c>
      <c r="J167" s="48"/>
      <c r="K167" s="427" t="s">
        <v>57</v>
      </c>
      <c r="L167" s="48">
        <v>1.7090000000000001E-4</v>
      </c>
      <c r="M167" s="48">
        <v>6.2883499999999995E-2</v>
      </c>
      <c r="N167" s="48">
        <v>1.7015799999999998E-3</v>
      </c>
    </row>
    <row r="168" spans="1:14" x14ac:dyDescent="0.25">
      <c r="A168" s="427" t="s">
        <v>169</v>
      </c>
      <c r="B168" s="48">
        <v>3.4872169799999999</v>
      </c>
      <c r="C168" s="48">
        <v>1.6625073500000001</v>
      </c>
      <c r="D168" s="48">
        <v>3.8065775899999998</v>
      </c>
      <c r="E168" s="48"/>
      <c r="F168" s="427" t="s">
        <v>210</v>
      </c>
      <c r="G168" s="48">
        <v>0.20278738000000002</v>
      </c>
      <c r="H168" s="48">
        <v>0.43579804999999999</v>
      </c>
      <c r="I168" s="48">
        <v>6.0312050000000006E-2</v>
      </c>
      <c r="J168" s="48"/>
      <c r="K168" s="427" t="s">
        <v>36</v>
      </c>
      <c r="L168" s="48">
        <v>0</v>
      </c>
      <c r="M168" s="48">
        <v>0</v>
      </c>
      <c r="N168" s="48">
        <v>1.6789000000000001E-3</v>
      </c>
    </row>
    <row r="169" spans="1:14" x14ac:dyDescent="0.25">
      <c r="A169" s="427" t="s">
        <v>45</v>
      </c>
      <c r="B169" s="48">
        <v>3.0802200899999996</v>
      </c>
      <c r="C169" s="48">
        <v>3.5253281299999997</v>
      </c>
      <c r="D169" s="48">
        <v>3.6825054399999999</v>
      </c>
      <c r="E169" s="48"/>
      <c r="F169" s="427" t="s">
        <v>48</v>
      </c>
      <c r="G169" s="48">
        <v>75.989608200000006</v>
      </c>
      <c r="H169" s="48">
        <v>0.19249866000000002</v>
      </c>
      <c r="I169" s="48">
        <v>5.7806660000000003E-2</v>
      </c>
      <c r="J169" s="48"/>
      <c r="K169" s="427" t="s">
        <v>40</v>
      </c>
      <c r="L169" s="48">
        <v>2.01491E-3</v>
      </c>
      <c r="M169" s="48">
        <v>0</v>
      </c>
      <c r="N169" s="48">
        <v>1.3761999999999999E-3</v>
      </c>
    </row>
    <row r="170" spans="1:14" ht="12.65" customHeight="1" x14ac:dyDescent="0.25">
      <c r="A170" s="427" t="s">
        <v>152</v>
      </c>
      <c r="B170" s="48">
        <v>2.6559324399999999</v>
      </c>
      <c r="C170" s="48">
        <v>1.7248070200000001</v>
      </c>
      <c r="D170" s="48">
        <v>3.6657543399999999</v>
      </c>
      <c r="E170" s="48"/>
      <c r="F170" s="427" t="s">
        <v>111</v>
      </c>
      <c r="G170" s="48">
        <v>7.5574869999999988E-2</v>
      </c>
      <c r="H170" s="48">
        <v>5.7179720000000003E-2</v>
      </c>
      <c r="I170" s="48">
        <v>5.5187529999999999E-2</v>
      </c>
      <c r="J170" s="48"/>
      <c r="K170" s="427" t="s">
        <v>51</v>
      </c>
      <c r="L170" s="48">
        <v>3.6273000000000002E-4</v>
      </c>
      <c r="M170" s="48">
        <v>0</v>
      </c>
      <c r="N170" s="48">
        <v>1.3281900000000001E-3</v>
      </c>
    </row>
    <row r="171" spans="1:14" x14ac:dyDescent="0.25">
      <c r="A171" s="427" t="s">
        <v>359</v>
      </c>
      <c r="B171" s="48">
        <v>4.8334525199999998</v>
      </c>
      <c r="C171" s="48">
        <v>2.54734441</v>
      </c>
      <c r="D171" s="48">
        <v>3.6503108599999998</v>
      </c>
      <c r="E171" s="48"/>
      <c r="F171" s="427" t="s">
        <v>139</v>
      </c>
      <c r="G171" s="48">
        <v>2.0511330000000001E-2</v>
      </c>
      <c r="H171" s="48">
        <v>1.6615213799999999</v>
      </c>
      <c r="I171" s="48">
        <v>5.0993089999999998E-2</v>
      </c>
      <c r="J171" s="48"/>
      <c r="K171" s="427" t="s">
        <v>357</v>
      </c>
      <c r="L171" s="48">
        <v>0</v>
      </c>
      <c r="M171" s="48">
        <v>8.5498299999999996E-3</v>
      </c>
      <c r="N171" s="48">
        <v>1.1999999999999999E-3</v>
      </c>
    </row>
    <row r="172" spans="1:14" x14ac:dyDescent="0.25">
      <c r="A172" s="427" t="s">
        <v>59</v>
      </c>
      <c r="B172" s="48">
        <v>4.5314895199999992</v>
      </c>
      <c r="C172" s="48">
        <v>6.6772837100000002</v>
      </c>
      <c r="D172" s="48">
        <v>3.6304145299999999</v>
      </c>
      <c r="E172" s="48"/>
      <c r="F172" s="427" t="s">
        <v>213</v>
      </c>
      <c r="G172" s="48">
        <v>1.3862963000000001</v>
      </c>
      <c r="H172" s="48">
        <v>0.24306460999999999</v>
      </c>
      <c r="I172" s="48">
        <v>4.9241309999999996E-2</v>
      </c>
      <c r="J172" s="48"/>
      <c r="K172" s="427" t="s">
        <v>115</v>
      </c>
      <c r="L172" s="48">
        <v>5.2762820000000002E-2</v>
      </c>
      <c r="M172" s="48">
        <v>2.2910349999999999E-2</v>
      </c>
      <c r="N172" s="48">
        <v>1.1770799999999998E-3</v>
      </c>
    </row>
    <row r="173" spans="1:14" x14ac:dyDescent="0.25">
      <c r="A173" s="427" t="s">
        <v>110</v>
      </c>
      <c r="B173" s="48">
        <v>4.03439557</v>
      </c>
      <c r="C173" s="48">
        <v>2.93395289</v>
      </c>
      <c r="D173" s="48">
        <v>3.4307055600000003</v>
      </c>
      <c r="E173" s="48"/>
      <c r="F173" s="427" t="s">
        <v>34</v>
      </c>
      <c r="G173" s="48">
        <v>8.2054020000000005E-2</v>
      </c>
      <c r="H173" s="48">
        <v>3.1870000000000002E-3</v>
      </c>
      <c r="I173" s="48">
        <v>4.598758E-2</v>
      </c>
      <c r="J173" s="48"/>
      <c r="K173" s="427" t="s">
        <v>78</v>
      </c>
      <c r="L173" s="48">
        <v>1.66E-3</v>
      </c>
      <c r="M173" s="48">
        <v>0.34791105999999999</v>
      </c>
      <c r="N173" s="48">
        <v>1.0640000000000001E-3</v>
      </c>
    </row>
    <row r="174" spans="1:14" x14ac:dyDescent="0.25">
      <c r="A174" s="427" t="s">
        <v>97</v>
      </c>
      <c r="B174" s="48">
        <v>3.1027112799999998</v>
      </c>
      <c r="C174" s="48">
        <v>2.1019857900000001</v>
      </c>
      <c r="D174" s="48">
        <v>3.36546564</v>
      </c>
      <c r="E174" s="48"/>
      <c r="F174" s="427" t="s">
        <v>192</v>
      </c>
      <c r="G174" s="48">
        <v>0.11541092999999999</v>
      </c>
      <c r="H174" s="48">
        <v>0.15104130999999998</v>
      </c>
      <c r="I174" s="48">
        <v>4.0056180000000004E-2</v>
      </c>
      <c r="J174" s="48"/>
      <c r="K174" s="427" t="s">
        <v>27</v>
      </c>
      <c r="L174" s="48">
        <v>6.4321499999999993E-3</v>
      </c>
      <c r="M174" s="48">
        <v>1.2905499999999999E-3</v>
      </c>
      <c r="N174" s="48">
        <v>1.0557299999999999E-3</v>
      </c>
    </row>
    <row r="175" spans="1:14" x14ac:dyDescent="0.25">
      <c r="A175" s="427" t="s">
        <v>356</v>
      </c>
      <c r="B175" s="48">
        <v>9.7709785700000005</v>
      </c>
      <c r="C175" s="48">
        <v>4.8096799099999998</v>
      </c>
      <c r="D175" s="48">
        <v>3.1025231500000001</v>
      </c>
      <c r="E175" s="48"/>
      <c r="F175" s="427" t="s">
        <v>167</v>
      </c>
      <c r="G175" s="48">
        <v>1.2131389999999999E-2</v>
      </c>
      <c r="H175" s="48">
        <v>0.12335491</v>
      </c>
      <c r="I175" s="48">
        <v>3.9180519999999996E-2</v>
      </c>
      <c r="J175" s="48"/>
      <c r="K175" s="427" t="s">
        <v>103</v>
      </c>
      <c r="L175" s="48">
        <v>3.3218370000000004E-2</v>
      </c>
      <c r="M175" s="48">
        <v>6.225058E-2</v>
      </c>
      <c r="N175" s="48">
        <v>1.00914E-3</v>
      </c>
    </row>
    <row r="176" spans="1:14" x14ac:dyDescent="0.25">
      <c r="A176" s="427" t="s">
        <v>36</v>
      </c>
      <c r="B176" s="48">
        <v>1.29594392</v>
      </c>
      <c r="C176" s="48">
        <v>2.1169215000000001</v>
      </c>
      <c r="D176" s="48">
        <v>2.8813770399999998</v>
      </c>
      <c r="E176" s="48"/>
      <c r="F176" s="427" t="s">
        <v>13</v>
      </c>
      <c r="G176" s="48">
        <v>5.7261199999999995E-3</v>
      </c>
      <c r="H176" s="48">
        <v>1.57514E-3</v>
      </c>
      <c r="I176" s="48">
        <v>3.4434489999999998E-2</v>
      </c>
      <c r="J176" s="48"/>
      <c r="K176" s="427" t="s">
        <v>45</v>
      </c>
      <c r="L176" s="48">
        <v>1.7200799999999999E-3</v>
      </c>
      <c r="M176" s="48">
        <v>4.7514999999999998E-4</v>
      </c>
      <c r="N176" s="48">
        <v>9.3849000000000005E-4</v>
      </c>
    </row>
    <row r="177" spans="1:14" x14ac:dyDescent="0.25">
      <c r="A177" s="427" t="s">
        <v>373</v>
      </c>
      <c r="B177" s="48">
        <v>2.7504696000000002</v>
      </c>
      <c r="C177" s="48">
        <v>1.34182606</v>
      </c>
      <c r="D177" s="48">
        <v>2.8280067</v>
      </c>
      <c r="E177" s="48"/>
      <c r="F177" s="427" t="s">
        <v>359</v>
      </c>
      <c r="G177" s="48">
        <v>2.7406029999999998E-2</v>
      </c>
      <c r="H177" s="48">
        <v>4.3513830000000003E-2</v>
      </c>
      <c r="I177" s="48">
        <v>2.9916869999999998E-2</v>
      </c>
      <c r="J177" s="48"/>
      <c r="K177" s="427" t="s">
        <v>92</v>
      </c>
      <c r="L177" s="48">
        <v>8.7878499999999998E-2</v>
      </c>
      <c r="M177" s="48">
        <v>4.65637E-3</v>
      </c>
      <c r="N177" s="48">
        <v>7.9896000000000003E-4</v>
      </c>
    </row>
    <row r="178" spans="1:14" x14ac:dyDescent="0.25">
      <c r="A178" s="427" t="s">
        <v>386</v>
      </c>
      <c r="B178" s="48">
        <v>1.73650046</v>
      </c>
      <c r="C178" s="48">
        <v>0.73942695999999997</v>
      </c>
      <c r="D178" s="48">
        <v>2.7823781000000003</v>
      </c>
      <c r="E178" s="48"/>
      <c r="F178" s="427" t="s">
        <v>73</v>
      </c>
      <c r="G178" s="48">
        <v>0.86386521999999999</v>
      </c>
      <c r="H178" s="48">
        <v>0.12700624999999999</v>
      </c>
      <c r="I178" s="48">
        <v>2.984297E-2</v>
      </c>
      <c r="J178" s="48"/>
      <c r="K178" s="427" t="s">
        <v>370</v>
      </c>
      <c r="L178" s="48">
        <v>4.6863999999999999E-4</v>
      </c>
      <c r="M178" s="48">
        <v>0</v>
      </c>
      <c r="N178" s="48">
        <v>7.9186000000000002E-4</v>
      </c>
    </row>
    <row r="179" spans="1:14" x14ac:dyDescent="0.25">
      <c r="A179" s="427" t="s">
        <v>73</v>
      </c>
      <c r="B179" s="48">
        <v>1.1040843</v>
      </c>
      <c r="C179" s="48">
        <v>0.67610893999999999</v>
      </c>
      <c r="D179" s="48">
        <v>2.60410393</v>
      </c>
      <c r="E179" s="48"/>
      <c r="F179" s="427" t="s">
        <v>169</v>
      </c>
      <c r="G179" s="48">
        <v>0.26469392999999997</v>
      </c>
      <c r="H179" s="48">
        <v>3.3760059999999995E-2</v>
      </c>
      <c r="I179" s="48">
        <v>2.6076080000000001E-2</v>
      </c>
      <c r="J179" s="48"/>
      <c r="K179" s="427" t="s">
        <v>55</v>
      </c>
      <c r="L179" s="48">
        <v>0</v>
      </c>
      <c r="M179" s="48">
        <v>1.1098900000000001E-3</v>
      </c>
      <c r="N179" s="48">
        <v>7.3071000000000008E-4</v>
      </c>
    </row>
    <row r="180" spans="1:14" x14ac:dyDescent="0.25">
      <c r="A180" s="427" t="s">
        <v>351</v>
      </c>
      <c r="B180" s="48">
        <v>0.74959637999999995</v>
      </c>
      <c r="C180" s="48">
        <v>3.8437778799999998</v>
      </c>
      <c r="D180" s="48">
        <v>2.4094615899999998</v>
      </c>
      <c r="E180" s="48"/>
      <c r="F180" s="427" t="s">
        <v>23</v>
      </c>
      <c r="G180" s="48">
        <v>4.4715600000000001E-2</v>
      </c>
      <c r="H180" s="48">
        <v>0.30560421000000004</v>
      </c>
      <c r="I180" s="48">
        <v>2.5052140000000001E-2</v>
      </c>
      <c r="J180" s="48"/>
      <c r="K180" s="427" t="s">
        <v>17</v>
      </c>
      <c r="L180" s="48">
        <v>7.7819E-4</v>
      </c>
      <c r="M180" s="48">
        <v>9.0730000000000007E-5</v>
      </c>
      <c r="N180" s="48">
        <v>6.7417999999999992E-4</v>
      </c>
    </row>
    <row r="181" spans="1:14" x14ac:dyDescent="0.25">
      <c r="A181" s="427" t="s">
        <v>68</v>
      </c>
      <c r="B181" s="48">
        <v>2.9563358900000001</v>
      </c>
      <c r="C181" s="48">
        <v>2.1148055499999998</v>
      </c>
      <c r="D181" s="48">
        <v>2.3628565299999997</v>
      </c>
      <c r="E181" s="48"/>
      <c r="F181" s="427" t="s">
        <v>383</v>
      </c>
      <c r="G181" s="48">
        <v>2.1157275599999998</v>
      </c>
      <c r="H181" s="48">
        <v>0.20326467000000001</v>
      </c>
      <c r="I181" s="48">
        <v>1.7413999999999999E-2</v>
      </c>
      <c r="J181" s="48"/>
      <c r="K181" s="427" t="s">
        <v>116</v>
      </c>
      <c r="L181" s="48">
        <v>0.48438713999999999</v>
      </c>
      <c r="M181" s="48">
        <v>2.1115300000000004E-3</v>
      </c>
      <c r="N181" s="48">
        <v>6.4899999999999995E-4</v>
      </c>
    </row>
    <row r="182" spans="1:14" x14ac:dyDescent="0.25">
      <c r="A182" s="427" t="s">
        <v>185</v>
      </c>
      <c r="B182" s="48">
        <v>0.81570949000000004</v>
      </c>
      <c r="C182" s="48">
        <v>3.8557861299999998</v>
      </c>
      <c r="D182" s="48">
        <v>2.3433627700000002</v>
      </c>
      <c r="E182" s="48"/>
      <c r="F182" s="427" t="s">
        <v>367</v>
      </c>
      <c r="G182" s="48">
        <v>8.9222399999999997E-3</v>
      </c>
      <c r="H182" s="48">
        <v>0</v>
      </c>
      <c r="I182" s="48">
        <v>1.345618E-2</v>
      </c>
      <c r="J182" s="48"/>
      <c r="K182" s="427" t="s">
        <v>97</v>
      </c>
      <c r="L182" s="48">
        <v>0</v>
      </c>
      <c r="M182" s="48">
        <v>3.8686999999999999E-4</v>
      </c>
      <c r="N182" s="48">
        <v>4.7343999999999999E-4</v>
      </c>
    </row>
    <row r="183" spans="1:14" x14ac:dyDescent="0.25">
      <c r="A183" s="427" t="s">
        <v>70</v>
      </c>
      <c r="B183" s="48">
        <v>2.1737481400000003</v>
      </c>
      <c r="C183" s="48">
        <v>1.9101946000000001</v>
      </c>
      <c r="D183" s="48">
        <v>2.1581079900000004</v>
      </c>
      <c r="E183" s="48"/>
      <c r="F183" s="427" t="s">
        <v>14</v>
      </c>
      <c r="G183" s="48">
        <v>0.16824732000000001</v>
      </c>
      <c r="H183" s="48">
        <v>9.332696E-2</v>
      </c>
      <c r="I183" s="48">
        <v>1.2735669999999999E-2</v>
      </c>
      <c r="J183" s="48"/>
      <c r="K183" s="427" t="s">
        <v>59</v>
      </c>
      <c r="L183" s="48">
        <v>0</v>
      </c>
      <c r="M183" s="48">
        <v>2.8600000000000001E-3</v>
      </c>
      <c r="N183" s="48">
        <v>4.1199999999999999E-4</v>
      </c>
    </row>
    <row r="184" spans="1:14" x14ac:dyDescent="0.25">
      <c r="A184" s="427" t="s">
        <v>153</v>
      </c>
      <c r="B184" s="48">
        <v>1.58194802</v>
      </c>
      <c r="C184" s="48">
        <v>0.47859582000000001</v>
      </c>
      <c r="D184" s="48">
        <v>1.9795851</v>
      </c>
      <c r="E184" s="48"/>
      <c r="F184" s="427" t="s">
        <v>42</v>
      </c>
      <c r="G184" s="48">
        <v>0</v>
      </c>
      <c r="H184" s="48">
        <v>0</v>
      </c>
      <c r="I184" s="48">
        <v>1.2386659999999999E-2</v>
      </c>
      <c r="J184" s="48"/>
      <c r="K184" s="427" t="s">
        <v>4</v>
      </c>
      <c r="L184" s="48">
        <v>1.8803814099999998</v>
      </c>
      <c r="M184" s="48">
        <v>1.6718080000000003E-2</v>
      </c>
      <c r="N184" s="48">
        <v>3.7770999999999996E-4</v>
      </c>
    </row>
    <row r="185" spans="1:14" x14ac:dyDescent="0.25">
      <c r="A185" s="427" t="s">
        <v>108</v>
      </c>
      <c r="B185" s="48">
        <v>0.55230889999999999</v>
      </c>
      <c r="C185" s="48">
        <v>1.7495226699999999</v>
      </c>
      <c r="D185" s="48">
        <v>1.95526351</v>
      </c>
      <c r="E185" s="48"/>
      <c r="F185" s="427" t="s">
        <v>1</v>
      </c>
      <c r="G185" s="48">
        <v>0</v>
      </c>
      <c r="H185" s="48">
        <v>0</v>
      </c>
      <c r="I185" s="48">
        <v>1.1477270000000001E-2</v>
      </c>
      <c r="J185" s="48"/>
      <c r="K185" s="427" t="s">
        <v>75</v>
      </c>
      <c r="L185" s="48">
        <v>0</v>
      </c>
      <c r="M185" s="48">
        <v>8.8157900000000004E-3</v>
      </c>
      <c r="N185" s="48">
        <v>3.0779000000000001E-4</v>
      </c>
    </row>
    <row r="186" spans="1:14" x14ac:dyDescent="0.25">
      <c r="A186" s="427" t="s">
        <v>372</v>
      </c>
      <c r="B186" s="48">
        <v>3.8279961499999997</v>
      </c>
      <c r="C186" s="48">
        <v>3.43210551</v>
      </c>
      <c r="D186" s="48">
        <v>1.8778153</v>
      </c>
      <c r="E186" s="48"/>
      <c r="F186" s="427" t="s">
        <v>205</v>
      </c>
      <c r="G186" s="48">
        <v>9.0157539999999994E-2</v>
      </c>
      <c r="H186" s="48">
        <v>0.10440442</v>
      </c>
      <c r="I186" s="48">
        <v>1.1361969999999999E-2</v>
      </c>
      <c r="J186" s="48"/>
      <c r="K186" s="427" t="s">
        <v>74</v>
      </c>
      <c r="L186" s="48">
        <v>2.2646980000000001E-2</v>
      </c>
      <c r="M186" s="48">
        <v>1.6826500000000002E-3</v>
      </c>
      <c r="N186" s="48">
        <v>3.0313999999999997E-4</v>
      </c>
    </row>
    <row r="187" spans="1:14" x14ac:dyDescent="0.25">
      <c r="A187" s="427" t="s">
        <v>183</v>
      </c>
      <c r="B187" s="48">
        <v>1.787242</v>
      </c>
      <c r="C187" s="48">
        <v>5.4769419800000003</v>
      </c>
      <c r="D187" s="48">
        <v>1.8578717</v>
      </c>
      <c r="E187" s="48"/>
      <c r="F187" s="427" t="s">
        <v>193</v>
      </c>
      <c r="G187" s="48">
        <v>0.13155422</v>
      </c>
      <c r="H187" s="48">
        <v>0.16951507999999998</v>
      </c>
      <c r="I187" s="48">
        <v>9.6769999999999998E-3</v>
      </c>
      <c r="J187" s="48"/>
      <c r="K187" s="427" t="s">
        <v>67</v>
      </c>
      <c r="L187" s="48">
        <v>3.2802999999999999E-4</v>
      </c>
      <c r="M187" s="48">
        <v>1.42103E-3</v>
      </c>
      <c r="N187" s="48">
        <v>1.2411E-4</v>
      </c>
    </row>
    <row r="188" spans="1:14" x14ac:dyDescent="0.25">
      <c r="A188" s="427" t="s">
        <v>107</v>
      </c>
      <c r="B188" s="48">
        <v>2.1449066600000002</v>
      </c>
      <c r="C188" s="48">
        <v>1.7120608100000001</v>
      </c>
      <c r="D188" s="48">
        <v>1.72018834</v>
      </c>
      <c r="E188" s="48"/>
      <c r="F188" s="427" t="s">
        <v>194</v>
      </c>
      <c r="G188" s="48">
        <v>0.15876014999999999</v>
      </c>
      <c r="H188" s="48">
        <v>0.1189943</v>
      </c>
      <c r="I188" s="48">
        <v>8.7367499999999997E-3</v>
      </c>
      <c r="J188" s="48"/>
      <c r="K188" s="427" t="s">
        <v>122</v>
      </c>
      <c r="L188" s="48">
        <v>0</v>
      </c>
      <c r="M188" s="48">
        <v>0</v>
      </c>
      <c r="N188" s="48">
        <v>5.469E-5</v>
      </c>
    </row>
    <row r="189" spans="1:14" x14ac:dyDescent="0.25">
      <c r="A189" s="427" t="s">
        <v>10</v>
      </c>
      <c r="B189" s="48">
        <v>2.02044771</v>
      </c>
      <c r="C189" s="48">
        <v>2.09016724</v>
      </c>
      <c r="D189" s="48">
        <v>1.7163262500000001</v>
      </c>
      <c r="E189" s="48"/>
      <c r="F189" s="427" t="s">
        <v>7</v>
      </c>
      <c r="G189" s="48">
        <v>9.8560250000000002E-2</v>
      </c>
      <c r="H189" s="48">
        <v>1.7243790000000002E-2</v>
      </c>
      <c r="I189" s="48">
        <v>7.1102399999999994E-3</v>
      </c>
      <c r="J189" s="48"/>
      <c r="K189" s="427" t="s">
        <v>86</v>
      </c>
      <c r="L189" s="48">
        <v>0</v>
      </c>
      <c r="M189" s="48">
        <v>0</v>
      </c>
      <c r="N189" s="48">
        <v>2.957E-5</v>
      </c>
    </row>
    <row r="190" spans="1:14" x14ac:dyDescent="0.25">
      <c r="A190" s="427" t="s">
        <v>33</v>
      </c>
      <c r="B190" s="48">
        <v>2.3681867099999998</v>
      </c>
      <c r="C190" s="48">
        <v>0.48845179999999999</v>
      </c>
      <c r="D190" s="48">
        <v>1.70973507</v>
      </c>
      <c r="E190" s="48"/>
      <c r="F190" s="427" t="s">
        <v>148</v>
      </c>
      <c r="G190" s="48">
        <v>8.0165378499999989</v>
      </c>
      <c r="H190" s="48">
        <v>2.1665588499999999</v>
      </c>
      <c r="I190" s="48">
        <v>5.6376999999999998E-3</v>
      </c>
      <c r="J190" s="48"/>
      <c r="K190" s="427" t="s">
        <v>183</v>
      </c>
      <c r="L190" s="48">
        <v>2.977287E-2</v>
      </c>
      <c r="M190" s="48">
        <v>9.2399999999999996E-6</v>
      </c>
      <c r="N190" s="48">
        <v>2.6079999999999998E-5</v>
      </c>
    </row>
    <row r="191" spans="1:14" x14ac:dyDescent="0.25">
      <c r="A191" s="427" t="s">
        <v>381</v>
      </c>
      <c r="B191" s="48">
        <v>1.6759093</v>
      </c>
      <c r="C191" s="48">
        <v>1.7891008899999998</v>
      </c>
      <c r="D191" s="48">
        <v>1.5523294399999998</v>
      </c>
      <c r="E191" s="48"/>
      <c r="F191" s="427" t="s">
        <v>33</v>
      </c>
      <c r="G191" s="48">
        <v>9.0296500000000002E-3</v>
      </c>
      <c r="H191" s="48">
        <v>0</v>
      </c>
      <c r="I191" s="48">
        <v>5.21924E-3</v>
      </c>
      <c r="J191" s="48"/>
      <c r="K191" s="427" t="s">
        <v>41</v>
      </c>
      <c r="L191" s="48">
        <v>9.9654820000000005E-2</v>
      </c>
      <c r="M191" s="48">
        <v>0</v>
      </c>
      <c r="N191" s="48">
        <v>2.74E-6</v>
      </c>
    </row>
    <row r="192" spans="1:14" ht="12.65" customHeight="1" x14ac:dyDescent="0.25">
      <c r="A192" s="427" t="s">
        <v>203</v>
      </c>
      <c r="B192" s="48">
        <v>0.57648465999999998</v>
      </c>
      <c r="C192" s="48">
        <v>2.2490103800000001</v>
      </c>
      <c r="D192" s="48">
        <v>1.5473231999999999</v>
      </c>
      <c r="E192" s="48"/>
      <c r="F192" s="427" t="s">
        <v>352</v>
      </c>
      <c r="G192" s="48">
        <v>2.5000000000000001E-4</v>
      </c>
      <c r="H192" s="48">
        <v>2.9761259999999998E-2</v>
      </c>
      <c r="I192" s="48">
        <v>5.1491499999999999E-3</v>
      </c>
      <c r="J192" s="48"/>
      <c r="K192" s="427" t="s">
        <v>1</v>
      </c>
      <c r="L192" s="48">
        <v>1.05771448</v>
      </c>
      <c r="M192" s="48">
        <v>0</v>
      </c>
      <c r="N192" s="48">
        <v>0</v>
      </c>
    </row>
    <row r="193" spans="1:14" x14ac:dyDescent="0.25">
      <c r="A193" s="427" t="s">
        <v>170</v>
      </c>
      <c r="B193" s="48">
        <v>1.9274013300000001</v>
      </c>
      <c r="C193" s="48">
        <v>1.0547987299999999</v>
      </c>
      <c r="D193" s="48">
        <v>1.54063755</v>
      </c>
      <c r="E193" s="48"/>
      <c r="F193" s="427" t="s">
        <v>387</v>
      </c>
      <c r="G193" s="48">
        <v>3.5478580000000003E-2</v>
      </c>
      <c r="H193" s="48">
        <v>0.30112923999999996</v>
      </c>
      <c r="I193" s="48">
        <v>4.8310900000000006E-3</v>
      </c>
      <c r="J193" s="48"/>
      <c r="K193" s="427" t="s">
        <v>2</v>
      </c>
      <c r="L193" s="48">
        <v>0</v>
      </c>
      <c r="M193" s="48">
        <v>0</v>
      </c>
      <c r="N193" s="48">
        <v>0</v>
      </c>
    </row>
    <row r="194" spans="1:14" x14ac:dyDescent="0.25">
      <c r="A194" s="427" t="s">
        <v>186</v>
      </c>
      <c r="B194" s="48">
        <v>4.7231520999999992</v>
      </c>
      <c r="C194" s="48">
        <v>0.25969080999999999</v>
      </c>
      <c r="D194" s="48">
        <v>1.5378349</v>
      </c>
      <c r="E194" s="48"/>
      <c r="F194" s="427" t="s">
        <v>199</v>
      </c>
      <c r="G194" s="48">
        <v>1.2246459999999999E-2</v>
      </c>
      <c r="H194" s="48">
        <v>7.1914500000000006E-2</v>
      </c>
      <c r="I194" s="48">
        <v>4.2433100000000001E-3</v>
      </c>
      <c r="J194" s="48"/>
      <c r="K194" s="427" t="s">
        <v>3</v>
      </c>
      <c r="L194" s="48">
        <v>0</v>
      </c>
      <c r="M194" s="48">
        <v>0</v>
      </c>
      <c r="N194" s="48">
        <v>0</v>
      </c>
    </row>
    <row r="195" spans="1:14" x14ac:dyDescent="0.25">
      <c r="A195" s="427" t="s">
        <v>98</v>
      </c>
      <c r="B195" s="48">
        <v>1.1026111999999999</v>
      </c>
      <c r="C195" s="48">
        <v>0.89947465000000004</v>
      </c>
      <c r="D195" s="48">
        <v>1.38808894</v>
      </c>
      <c r="E195" s="48"/>
      <c r="F195" s="427" t="s">
        <v>82</v>
      </c>
      <c r="G195" s="48">
        <v>0.51618958999999998</v>
      </c>
      <c r="H195" s="48">
        <v>1.351077E-2</v>
      </c>
      <c r="I195" s="48">
        <v>3.4444200000000001E-3</v>
      </c>
      <c r="J195" s="48"/>
      <c r="K195" s="427" t="s">
        <v>6</v>
      </c>
      <c r="L195" s="48">
        <v>0</v>
      </c>
      <c r="M195" s="48">
        <v>0</v>
      </c>
      <c r="N195" s="48">
        <v>0</v>
      </c>
    </row>
    <row r="196" spans="1:14" x14ac:dyDescent="0.25">
      <c r="A196" s="427" t="s">
        <v>0</v>
      </c>
      <c r="B196" s="48">
        <v>3.0940518999999997</v>
      </c>
      <c r="C196" s="48">
        <v>0.583449</v>
      </c>
      <c r="D196" s="48">
        <v>1.2877320000000001</v>
      </c>
      <c r="E196" s="48"/>
      <c r="F196" s="427" t="s">
        <v>4</v>
      </c>
      <c r="G196" s="48">
        <v>2.98748535</v>
      </c>
      <c r="H196" s="48">
        <v>3.4226029999999998E-2</v>
      </c>
      <c r="I196" s="48">
        <v>2.9698800000000003E-3</v>
      </c>
      <c r="J196" s="48"/>
      <c r="K196" s="427" t="s">
        <v>353</v>
      </c>
      <c r="L196" s="48">
        <v>0.20893078000000001</v>
      </c>
      <c r="M196" s="48">
        <v>0.20667805</v>
      </c>
      <c r="N196" s="48">
        <v>0</v>
      </c>
    </row>
    <row r="197" spans="1:14" x14ac:dyDescent="0.25">
      <c r="A197" s="427" t="s">
        <v>352</v>
      </c>
      <c r="B197" s="48">
        <v>1.7604946699999999</v>
      </c>
      <c r="C197" s="48">
        <v>2.2142914900000004</v>
      </c>
      <c r="D197" s="48">
        <v>1.2694932700000001</v>
      </c>
      <c r="E197" s="48"/>
      <c r="F197" s="427" t="s">
        <v>206</v>
      </c>
      <c r="G197" s="48">
        <v>1.1285488799999999</v>
      </c>
      <c r="H197" s="48">
        <v>1.2256E-2</v>
      </c>
      <c r="I197" s="48">
        <v>2.8484199999999999E-3</v>
      </c>
      <c r="J197" s="48"/>
      <c r="K197" s="427" t="s">
        <v>7</v>
      </c>
      <c r="L197" s="48">
        <v>0</v>
      </c>
      <c r="M197" s="48">
        <v>0</v>
      </c>
      <c r="N197" s="48">
        <v>0</v>
      </c>
    </row>
    <row r="198" spans="1:14" x14ac:dyDescent="0.25">
      <c r="A198" s="427" t="s">
        <v>44</v>
      </c>
      <c r="B198" s="48">
        <v>0.46407615000000002</v>
      </c>
      <c r="C198" s="48">
        <v>0.50509062000000005</v>
      </c>
      <c r="D198" s="48">
        <v>1.26647094</v>
      </c>
      <c r="E198" s="48"/>
      <c r="F198" s="427" t="s">
        <v>87</v>
      </c>
      <c r="G198" s="48">
        <v>7.9310518200000004</v>
      </c>
      <c r="H198" s="48">
        <v>3.7788231899999998</v>
      </c>
      <c r="I198" s="48">
        <v>2.3779000000000001E-3</v>
      </c>
      <c r="J198" s="48"/>
      <c r="K198" s="427" t="s">
        <v>9</v>
      </c>
      <c r="L198" s="48">
        <v>3.5116000000000005E-4</v>
      </c>
      <c r="M198" s="48">
        <v>0</v>
      </c>
      <c r="N198" s="48">
        <v>0</v>
      </c>
    </row>
    <row r="199" spans="1:14" x14ac:dyDescent="0.25">
      <c r="A199" s="427" t="s">
        <v>14</v>
      </c>
      <c r="B199" s="48">
        <v>1.69344655</v>
      </c>
      <c r="C199" s="48">
        <v>1.4262687599999999</v>
      </c>
      <c r="D199" s="48">
        <v>1.2400845199999999</v>
      </c>
      <c r="E199" s="48"/>
      <c r="F199" s="427" t="s">
        <v>110</v>
      </c>
      <c r="G199" s="48">
        <v>1.5861159999999999E-2</v>
      </c>
      <c r="H199" s="48">
        <v>4.0343980000000002E-2</v>
      </c>
      <c r="I199" s="48">
        <v>2.0027999999999999E-3</v>
      </c>
      <c r="J199" s="48"/>
      <c r="K199" s="427" t="s">
        <v>11</v>
      </c>
      <c r="L199" s="48">
        <v>6.5534000000000002E-4</v>
      </c>
      <c r="M199" s="48">
        <v>4.7783E-4</v>
      </c>
      <c r="N199" s="48">
        <v>0</v>
      </c>
    </row>
    <row r="200" spans="1:14" x14ac:dyDescent="0.25">
      <c r="A200" s="427" t="s">
        <v>91</v>
      </c>
      <c r="B200" s="48">
        <v>0.83425115999999999</v>
      </c>
      <c r="C200" s="48">
        <v>2.1767509900000004</v>
      </c>
      <c r="D200" s="48">
        <v>1.23494332</v>
      </c>
      <c r="E200" s="48"/>
      <c r="F200" s="427" t="s">
        <v>6</v>
      </c>
      <c r="G200" s="48">
        <v>7.6719179999999998E-2</v>
      </c>
      <c r="H200" s="48">
        <v>7.8647009999999989E-2</v>
      </c>
      <c r="I200" s="48">
        <v>1.232E-3</v>
      </c>
      <c r="J200" s="48"/>
      <c r="K200" s="427" t="s">
        <v>354</v>
      </c>
      <c r="L200" s="48">
        <v>0</v>
      </c>
      <c r="M200" s="48">
        <v>0</v>
      </c>
      <c r="N200" s="48">
        <v>0</v>
      </c>
    </row>
    <row r="201" spans="1:14" x14ac:dyDescent="0.25">
      <c r="A201" s="427" t="s">
        <v>122</v>
      </c>
      <c r="B201" s="48">
        <v>1.1238601000000001</v>
      </c>
      <c r="C201" s="48">
        <v>1.5259503700000001</v>
      </c>
      <c r="D201" s="48">
        <v>1.18073026</v>
      </c>
      <c r="E201" s="48"/>
      <c r="F201" s="427" t="s">
        <v>122</v>
      </c>
      <c r="G201" s="48">
        <v>5.1539999999999995E-4</v>
      </c>
      <c r="H201" s="48">
        <v>0</v>
      </c>
      <c r="I201" s="48">
        <v>4.883E-4</v>
      </c>
      <c r="J201" s="48"/>
      <c r="K201" s="427" t="s">
        <v>360</v>
      </c>
      <c r="L201" s="48">
        <v>6.1274675900000002</v>
      </c>
      <c r="M201" s="48">
        <v>0</v>
      </c>
      <c r="N201" s="48">
        <v>0</v>
      </c>
    </row>
    <row r="202" spans="1:14" x14ac:dyDescent="0.25">
      <c r="A202" s="427" t="s">
        <v>35</v>
      </c>
      <c r="B202" s="48">
        <v>1.1908127900000001</v>
      </c>
      <c r="C202" s="48">
        <v>2.3193184200000001</v>
      </c>
      <c r="D202" s="48">
        <v>1.0828491299999998</v>
      </c>
      <c r="E202" s="48"/>
      <c r="F202" s="427" t="s">
        <v>27</v>
      </c>
      <c r="G202" s="48">
        <v>2.0059974299999999</v>
      </c>
      <c r="H202" s="48">
        <v>1.0181239999999999E-2</v>
      </c>
      <c r="I202" s="48">
        <v>3.7970000000000001E-4</v>
      </c>
      <c r="J202" s="48"/>
      <c r="K202" s="427" t="s">
        <v>404</v>
      </c>
      <c r="L202" s="48">
        <v>0</v>
      </c>
      <c r="M202" s="48">
        <v>0</v>
      </c>
      <c r="N202" s="48">
        <v>0</v>
      </c>
    </row>
    <row r="203" spans="1:14" x14ac:dyDescent="0.25">
      <c r="A203" s="427" t="s">
        <v>43</v>
      </c>
      <c r="B203" s="48">
        <v>1.34612621</v>
      </c>
      <c r="C203" s="48">
        <v>0.98518268000000009</v>
      </c>
      <c r="D203" s="48">
        <v>1.02270694</v>
      </c>
      <c r="E203" s="48"/>
      <c r="F203" s="427" t="s">
        <v>0</v>
      </c>
      <c r="G203" s="48">
        <v>0</v>
      </c>
      <c r="H203" s="48">
        <v>0</v>
      </c>
      <c r="I203" s="48">
        <v>0</v>
      </c>
      <c r="J203" s="48"/>
      <c r="K203" s="427" t="s">
        <v>12</v>
      </c>
      <c r="L203" s="48">
        <v>4.2482000000000002E-4</v>
      </c>
      <c r="M203" s="48">
        <v>7.6500000000000003E-5</v>
      </c>
      <c r="N203" s="48">
        <v>0</v>
      </c>
    </row>
    <row r="204" spans="1:14" x14ac:dyDescent="0.25">
      <c r="A204" s="427" t="s">
        <v>69</v>
      </c>
      <c r="B204" s="48">
        <v>2.6694741500000001</v>
      </c>
      <c r="C204" s="48">
        <v>2.53692998</v>
      </c>
      <c r="D204" s="48">
        <v>1.0163235400000001</v>
      </c>
      <c r="E204" s="48"/>
      <c r="F204" s="427" t="s">
        <v>3</v>
      </c>
      <c r="G204" s="48">
        <v>2.381496E-2</v>
      </c>
      <c r="H204" s="48">
        <v>0</v>
      </c>
      <c r="I204" s="48">
        <v>0</v>
      </c>
      <c r="J204" s="48"/>
      <c r="K204" s="427" t="s">
        <v>373</v>
      </c>
      <c r="L204" s="48">
        <v>4.4275E-4</v>
      </c>
      <c r="M204" s="48">
        <v>6.1550000000000005E-4</v>
      </c>
      <c r="N204" s="48">
        <v>0</v>
      </c>
    </row>
    <row r="205" spans="1:14" x14ac:dyDescent="0.25">
      <c r="A205" s="427" t="s">
        <v>211</v>
      </c>
      <c r="B205" s="48">
        <v>0.52821492000000003</v>
      </c>
      <c r="C205" s="48">
        <v>4.01108156</v>
      </c>
      <c r="D205" s="48">
        <v>1.0038885099999999</v>
      </c>
      <c r="E205" s="48"/>
      <c r="F205" s="427" t="s">
        <v>354</v>
      </c>
      <c r="G205" s="48">
        <v>216.44955258000002</v>
      </c>
      <c r="H205" s="48">
        <v>92.068511180000002</v>
      </c>
      <c r="I205" s="48">
        <v>0</v>
      </c>
      <c r="J205" s="48"/>
      <c r="K205" s="427" t="s">
        <v>13</v>
      </c>
      <c r="L205" s="48">
        <v>4.9862700000000001E-3</v>
      </c>
      <c r="M205" s="48">
        <v>0</v>
      </c>
      <c r="N205" s="48">
        <v>0</v>
      </c>
    </row>
    <row r="206" spans="1:14" x14ac:dyDescent="0.25">
      <c r="A206" s="427" t="s">
        <v>9</v>
      </c>
      <c r="B206" s="48">
        <v>0.7463836800000001</v>
      </c>
      <c r="C206" s="48">
        <v>0.50707334000000004</v>
      </c>
      <c r="D206" s="48">
        <v>0.97430907</v>
      </c>
      <c r="E206" s="48"/>
      <c r="F206" s="427" t="s">
        <v>404</v>
      </c>
      <c r="G206" s="48">
        <v>0</v>
      </c>
      <c r="H206" s="48">
        <v>0</v>
      </c>
      <c r="I206" s="48">
        <v>0</v>
      </c>
      <c r="J206" s="48"/>
      <c r="K206" s="427" t="s">
        <v>14</v>
      </c>
      <c r="L206" s="48">
        <v>1.4984289799999999</v>
      </c>
      <c r="M206" s="48">
        <v>0</v>
      </c>
      <c r="N206" s="48">
        <v>0</v>
      </c>
    </row>
    <row r="207" spans="1:14" x14ac:dyDescent="0.25">
      <c r="A207" s="427" t="s">
        <v>357</v>
      </c>
      <c r="B207" s="48">
        <v>0.55158868999999999</v>
      </c>
      <c r="C207" s="48">
        <v>0.51348409000000006</v>
      </c>
      <c r="D207" s="48">
        <v>0.96650357999999992</v>
      </c>
      <c r="E207" s="48"/>
      <c r="F207" s="427" t="s">
        <v>12</v>
      </c>
      <c r="G207" s="48">
        <v>9.553575480000001</v>
      </c>
      <c r="H207" s="48">
        <v>5.65257E-3</v>
      </c>
      <c r="I207" s="48">
        <v>0</v>
      </c>
      <c r="J207" s="48"/>
      <c r="K207" s="427" t="s">
        <v>16</v>
      </c>
      <c r="L207" s="48">
        <v>1.844755E-2</v>
      </c>
      <c r="M207" s="48">
        <v>0.47574972999999998</v>
      </c>
      <c r="N207" s="48">
        <v>0</v>
      </c>
    </row>
    <row r="208" spans="1:14" x14ac:dyDescent="0.25">
      <c r="A208" s="427" t="s">
        <v>368</v>
      </c>
      <c r="B208" s="48">
        <v>0.55450186999999995</v>
      </c>
      <c r="C208" s="48">
        <v>0.36696390999999995</v>
      </c>
      <c r="D208" s="48">
        <v>0.94703442000000004</v>
      </c>
      <c r="E208" s="48"/>
      <c r="F208" s="427" t="s">
        <v>373</v>
      </c>
      <c r="G208" s="48">
        <v>2.4408899999999998E-3</v>
      </c>
      <c r="H208" s="48">
        <v>0</v>
      </c>
      <c r="I208" s="48">
        <v>0</v>
      </c>
      <c r="J208" s="48"/>
      <c r="K208" s="427" t="s">
        <v>20</v>
      </c>
      <c r="L208" s="48">
        <v>4.2462000000000001E-4</v>
      </c>
      <c r="M208" s="48">
        <v>0</v>
      </c>
      <c r="N208" s="48">
        <v>0</v>
      </c>
    </row>
    <row r="209" spans="1:14" x14ac:dyDescent="0.25">
      <c r="A209" s="427" t="s">
        <v>199</v>
      </c>
      <c r="B209" s="48">
        <v>1.5638761000000001</v>
      </c>
      <c r="C209" s="48">
        <v>3.0560557699999999</v>
      </c>
      <c r="D209" s="48">
        <v>0.83244544999999992</v>
      </c>
      <c r="E209" s="48"/>
      <c r="F209" s="427" t="s">
        <v>350</v>
      </c>
      <c r="G209" s="48">
        <v>0</v>
      </c>
      <c r="H209" s="48">
        <v>0</v>
      </c>
      <c r="I209" s="48">
        <v>0</v>
      </c>
      <c r="J209" s="48"/>
      <c r="K209" s="427" t="s">
        <v>350</v>
      </c>
      <c r="L209" s="48">
        <v>1.9228E-4</v>
      </c>
      <c r="M209" s="48">
        <v>0</v>
      </c>
      <c r="N209" s="48">
        <v>0</v>
      </c>
    </row>
    <row r="210" spans="1:14" x14ac:dyDescent="0.25">
      <c r="A210" s="427" t="s">
        <v>72</v>
      </c>
      <c r="B210" s="48">
        <v>2.1228706699999997</v>
      </c>
      <c r="C210" s="48">
        <v>0.80474621000000002</v>
      </c>
      <c r="D210" s="48">
        <v>0.74228070999999995</v>
      </c>
      <c r="E210" s="48"/>
      <c r="F210" s="427" t="s">
        <v>385</v>
      </c>
      <c r="G210" s="48">
        <v>0</v>
      </c>
      <c r="H210" s="48">
        <v>0</v>
      </c>
      <c r="I210" s="48">
        <v>0</v>
      </c>
      <c r="J210" s="48"/>
      <c r="K210" s="427" t="s">
        <v>387</v>
      </c>
      <c r="L210" s="48">
        <v>0</v>
      </c>
      <c r="M210" s="48">
        <v>0</v>
      </c>
      <c r="N210" s="48">
        <v>0</v>
      </c>
    </row>
    <row r="211" spans="1:14" x14ac:dyDescent="0.25">
      <c r="A211" s="427" t="s">
        <v>374</v>
      </c>
      <c r="B211" s="48">
        <v>0</v>
      </c>
      <c r="C211" s="48">
        <v>7.058652E-2</v>
      </c>
      <c r="D211" s="48">
        <v>0.59584073999999998</v>
      </c>
      <c r="E211" s="48"/>
      <c r="F211" s="427" t="s">
        <v>31</v>
      </c>
      <c r="G211" s="48">
        <v>0</v>
      </c>
      <c r="H211" s="48">
        <v>2.1852119999999999E-2</v>
      </c>
      <c r="I211" s="48">
        <v>0</v>
      </c>
      <c r="J211" s="48"/>
      <c r="K211" s="427" t="s">
        <v>385</v>
      </c>
      <c r="L211" s="48">
        <v>0</v>
      </c>
      <c r="M211" s="48">
        <v>0</v>
      </c>
      <c r="N211" s="48">
        <v>0</v>
      </c>
    </row>
    <row r="212" spans="1:14" x14ac:dyDescent="0.25">
      <c r="A212" s="427" t="s">
        <v>34</v>
      </c>
      <c r="B212" s="48">
        <v>1.9662229999999999E-2</v>
      </c>
      <c r="C212" s="48">
        <v>1.0491743500000001</v>
      </c>
      <c r="D212" s="48">
        <v>0.57157051999999997</v>
      </c>
      <c r="E212" s="48"/>
      <c r="F212" s="427" t="s">
        <v>32</v>
      </c>
      <c r="G212" s="48">
        <v>0</v>
      </c>
      <c r="H212" s="48">
        <v>0</v>
      </c>
      <c r="I212" s="48">
        <v>0</v>
      </c>
      <c r="J212" s="48"/>
      <c r="K212" s="427" t="s">
        <v>32</v>
      </c>
      <c r="L212" s="48">
        <v>5.8603800000000001E-3</v>
      </c>
      <c r="M212" s="48">
        <v>0</v>
      </c>
      <c r="N212" s="48">
        <v>0</v>
      </c>
    </row>
    <row r="213" spans="1:14" x14ac:dyDescent="0.25">
      <c r="A213" s="427" t="s">
        <v>139</v>
      </c>
      <c r="B213" s="48">
        <v>0.97184009999999998</v>
      </c>
      <c r="C213" s="48">
        <v>0.16118588</v>
      </c>
      <c r="D213" s="48">
        <v>0.44596209000000003</v>
      </c>
      <c r="E213" s="48"/>
      <c r="F213" s="427" t="s">
        <v>403</v>
      </c>
      <c r="G213" s="48">
        <v>0</v>
      </c>
      <c r="H213" s="48">
        <v>0</v>
      </c>
      <c r="I213" s="48">
        <v>0</v>
      </c>
      <c r="J213" s="48"/>
      <c r="K213" s="427" t="s">
        <v>403</v>
      </c>
      <c r="L213" s="48">
        <v>0</v>
      </c>
      <c r="M213" s="48">
        <v>0</v>
      </c>
      <c r="N213" s="48">
        <v>0</v>
      </c>
    </row>
    <row r="214" spans="1:14" x14ac:dyDescent="0.25">
      <c r="A214" s="427" t="s">
        <v>37</v>
      </c>
      <c r="B214" s="48">
        <v>0.30914715000000004</v>
      </c>
      <c r="C214" s="48">
        <v>0.69015683999999999</v>
      </c>
      <c r="D214" s="48">
        <v>0.36140745000000002</v>
      </c>
      <c r="E214" s="48"/>
      <c r="F214" s="427" t="s">
        <v>386</v>
      </c>
      <c r="G214" s="48">
        <v>0</v>
      </c>
      <c r="H214" s="48">
        <v>0</v>
      </c>
      <c r="I214" s="48">
        <v>0</v>
      </c>
      <c r="J214" s="48"/>
      <c r="K214" s="427" t="s">
        <v>33</v>
      </c>
      <c r="L214" s="48">
        <v>1.3941E-4</v>
      </c>
      <c r="M214" s="48">
        <v>4.0540000000000001E-5</v>
      </c>
      <c r="N214" s="48">
        <v>0</v>
      </c>
    </row>
    <row r="215" spans="1:14" x14ac:dyDescent="0.25">
      <c r="A215" s="427" t="s">
        <v>42</v>
      </c>
      <c r="B215" s="48">
        <v>0.11939288000000001</v>
      </c>
      <c r="C215" s="48">
        <v>0.13772661</v>
      </c>
      <c r="D215" s="48">
        <v>0.35224403999999998</v>
      </c>
      <c r="E215" s="48"/>
      <c r="F215" s="427" t="s">
        <v>369</v>
      </c>
      <c r="G215" s="48">
        <v>0</v>
      </c>
      <c r="H215" s="48">
        <v>0</v>
      </c>
      <c r="I215" s="48">
        <v>0</v>
      </c>
      <c r="J215" s="48"/>
      <c r="K215" s="427" t="s">
        <v>386</v>
      </c>
      <c r="L215" s="48">
        <v>1.182E-5</v>
      </c>
      <c r="M215" s="48">
        <v>0</v>
      </c>
      <c r="N215" s="48">
        <v>0</v>
      </c>
    </row>
    <row r="216" spans="1:14" x14ac:dyDescent="0.25">
      <c r="A216" s="427" t="s">
        <v>154</v>
      </c>
      <c r="B216" s="48">
        <v>0.80261090000000002</v>
      </c>
      <c r="C216" s="48">
        <v>0.75867751000000005</v>
      </c>
      <c r="D216" s="48">
        <v>0.33009184000000003</v>
      </c>
      <c r="E216" s="48"/>
      <c r="F216" s="427" t="s">
        <v>36</v>
      </c>
      <c r="G216" s="48">
        <v>0</v>
      </c>
      <c r="H216" s="48">
        <v>1.906352E-2</v>
      </c>
      <c r="I216" s="48">
        <v>0</v>
      </c>
      <c r="J216" s="48"/>
      <c r="K216" s="427" t="s">
        <v>34</v>
      </c>
      <c r="L216" s="48">
        <v>1.680396E-2</v>
      </c>
      <c r="M216" s="48">
        <v>0</v>
      </c>
      <c r="N216" s="48">
        <v>0</v>
      </c>
    </row>
    <row r="217" spans="1:14" x14ac:dyDescent="0.25">
      <c r="A217" s="427" t="s">
        <v>60</v>
      </c>
      <c r="B217" s="48">
        <v>0.31209299000000001</v>
      </c>
      <c r="C217" s="48">
        <v>0.40949303999999997</v>
      </c>
      <c r="D217" s="48">
        <v>0.31158665999999996</v>
      </c>
      <c r="E217" s="48"/>
      <c r="F217" s="427" t="s">
        <v>37</v>
      </c>
      <c r="G217" s="48">
        <v>0</v>
      </c>
      <c r="H217" s="48">
        <v>2.62816E-3</v>
      </c>
      <c r="I217" s="48">
        <v>0</v>
      </c>
      <c r="J217" s="48"/>
      <c r="K217" s="427" t="s">
        <v>35</v>
      </c>
      <c r="L217" s="48">
        <v>0</v>
      </c>
      <c r="M217" s="48">
        <v>1.420781E-2</v>
      </c>
      <c r="N217" s="48">
        <v>0</v>
      </c>
    </row>
    <row r="218" spans="1:14" x14ac:dyDescent="0.25">
      <c r="A218" s="427" t="s">
        <v>13</v>
      </c>
      <c r="B218" s="48">
        <v>0.21446618000000001</v>
      </c>
      <c r="C218" s="48">
        <v>0.26225765999999995</v>
      </c>
      <c r="D218" s="48">
        <v>0.27009046000000003</v>
      </c>
      <c r="E218" s="48"/>
      <c r="F218" s="427" t="s">
        <v>38</v>
      </c>
      <c r="G218" s="48">
        <v>0</v>
      </c>
      <c r="H218" s="48">
        <v>0</v>
      </c>
      <c r="I218" s="48">
        <v>0</v>
      </c>
      <c r="J218" s="48"/>
      <c r="K218" s="427" t="s">
        <v>369</v>
      </c>
      <c r="L218" s="48">
        <v>0</v>
      </c>
      <c r="M218" s="48">
        <v>0</v>
      </c>
      <c r="N218" s="48">
        <v>0</v>
      </c>
    </row>
    <row r="219" spans="1:14" x14ac:dyDescent="0.25">
      <c r="A219" s="427" t="s">
        <v>371</v>
      </c>
      <c r="B219" s="48">
        <v>1.1299999999999999E-2</v>
      </c>
      <c r="C219" s="48">
        <v>0.26997979999999999</v>
      </c>
      <c r="D219" s="48">
        <v>0.26748124000000001</v>
      </c>
      <c r="E219" s="48"/>
      <c r="F219" s="427" t="s">
        <v>40</v>
      </c>
      <c r="G219" s="48">
        <v>0</v>
      </c>
      <c r="H219" s="48">
        <v>0</v>
      </c>
      <c r="I219" s="48">
        <v>0</v>
      </c>
      <c r="J219" s="48"/>
      <c r="K219" s="427" t="s">
        <v>37</v>
      </c>
      <c r="L219" s="48">
        <v>0</v>
      </c>
      <c r="M219" s="48">
        <v>0</v>
      </c>
      <c r="N219" s="48">
        <v>0</v>
      </c>
    </row>
    <row r="220" spans="1:14" x14ac:dyDescent="0.25">
      <c r="A220" s="427" t="s">
        <v>350</v>
      </c>
      <c r="B220" s="48">
        <v>0.31261855999999999</v>
      </c>
      <c r="C220" s="48">
        <v>0.41480644999999999</v>
      </c>
      <c r="D220" s="48">
        <v>0.25866050000000002</v>
      </c>
      <c r="E220" s="48"/>
      <c r="F220" s="427" t="s">
        <v>41</v>
      </c>
      <c r="G220" s="48">
        <v>0.12993194999999999</v>
      </c>
      <c r="H220" s="48">
        <v>0</v>
      </c>
      <c r="I220" s="48">
        <v>0</v>
      </c>
      <c r="J220" s="48"/>
      <c r="K220" s="427" t="s">
        <v>38</v>
      </c>
      <c r="L220" s="48">
        <v>0</v>
      </c>
      <c r="M220" s="48">
        <v>0</v>
      </c>
      <c r="N220" s="48">
        <v>0</v>
      </c>
    </row>
    <row r="221" spans="1:14" x14ac:dyDescent="0.25">
      <c r="A221" s="427" t="s">
        <v>55</v>
      </c>
      <c r="B221" s="48">
        <v>0.18932639000000001</v>
      </c>
      <c r="C221" s="48">
        <v>0.20238220999999998</v>
      </c>
      <c r="D221" s="48">
        <v>0.25252059999999998</v>
      </c>
      <c r="E221" s="48"/>
      <c r="F221" s="427" t="s">
        <v>402</v>
      </c>
      <c r="G221" s="48">
        <v>0</v>
      </c>
      <c r="H221" s="48">
        <v>0</v>
      </c>
      <c r="I221" s="48">
        <v>0</v>
      </c>
      <c r="J221" s="48"/>
      <c r="K221" s="427" t="s">
        <v>39</v>
      </c>
      <c r="L221" s="48">
        <v>5.3271000000000004E-4</v>
      </c>
      <c r="M221" s="48">
        <v>9.1967999999999998E-4</v>
      </c>
      <c r="N221" s="48">
        <v>0</v>
      </c>
    </row>
    <row r="222" spans="1:14" x14ac:dyDescent="0.25">
      <c r="A222" s="427" t="s">
        <v>148</v>
      </c>
      <c r="B222" s="48">
        <v>1.48558375</v>
      </c>
      <c r="C222" s="48">
        <v>1.0381559599999999</v>
      </c>
      <c r="D222" s="48">
        <v>0.22712917000000002</v>
      </c>
      <c r="E222" s="48"/>
      <c r="F222" s="427" t="s">
        <v>380</v>
      </c>
      <c r="G222" s="48">
        <v>0.38419386</v>
      </c>
      <c r="H222" s="48">
        <v>4.7537120000000002E-2</v>
      </c>
      <c r="I222" s="48">
        <v>0</v>
      </c>
      <c r="J222" s="48"/>
      <c r="K222" s="427" t="s">
        <v>402</v>
      </c>
      <c r="L222" s="48">
        <v>0</v>
      </c>
      <c r="M222" s="48">
        <v>0</v>
      </c>
      <c r="N222" s="48">
        <v>0</v>
      </c>
    </row>
    <row r="223" spans="1:14" x14ac:dyDescent="0.25">
      <c r="A223" s="427" t="s">
        <v>78</v>
      </c>
      <c r="B223" s="48">
        <v>0.47755692999999999</v>
      </c>
      <c r="C223" s="48">
        <v>0.57826118999999998</v>
      </c>
      <c r="D223" s="48">
        <v>0.18790424999999999</v>
      </c>
      <c r="E223" s="48"/>
      <c r="F223" s="427" t="s">
        <v>375</v>
      </c>
      <c r="G223" s="48">
        <v>0.30791987999999998</v>
      </c>
      <c r="H223" s="48">
        <v>0.31373319999999999</v>
      </c>
      <c r="I223" s="48">
        <v>0</v>
      </c>
      <c r="J223" s="48"/>
      <c r="K223" s="427" t="s">
        <v>380</v>
      </c>
      <c r="L223" s="48">
        <v>0</v>
      </c>
      <c r="M223" s="48">
        <v>0</v>
      </c>
      <c r="N223" s="48">
        <v>0</v>
      </c>
    </row>
    <row r="224" spans="1:14" x14ac:dyDescent="0.25">
      <c r="A224" s="427" t="s">
        <v>354</v>
      </c>
      <c r="B224" s="48">
        <v>1.55093649</v>
      </c>
      <c r="C224" s="48">
        <v>2.3922E-4</v>
      </c>
      <c r="D224" s="48">
        <v>0.18775260000000002</v>
      </c>
      <c r="E224" s="48"/>
      <c r="F224" s="427" t="s">
        <v>376</v>
      </c>
      <c r="G224" s="48">
        <v>0</v>
      </c>
      <c r="H224" s="48">
        <v>0</v>
      </c>
      <c r="I224" s="48">
        <v>0</v>
      </c>
      <c r="J224" s="48"/>
      <c r="K224" s="427" t="s">
        <v>375</v>
      </c>
      <c r="L224" s="48">
        <v>0</v>
      </c>
      <c r="M224" s="48">
        <v>8.9033000000000005E-4</v>
      </c>
      <c r="N224" s="48">
        <v>0</v>
      </c>
    </row>
    <row r="225" spans="1:14" x14ac:dyDescent="0.25">
      <c r="A225" s="427" t="s">
        <v>367</v>
      </c>
      <c r="B225" s="48">
        <v>0.42611767</v>
      </c>
      <c r="C225" s="48">
        <v>0.22551832999999999</v>
      </c>
      <c r="D225" s="48">
        <v>0.14386713000000001</v>
      </c>
      <c r="E225" s="48"/>
      <c r="F225" s="427" t="s">
        <v>44</v>
      </c>
      <c r="G225" s="48">
        <v>0</v>
      </c>
      <c r="H225" s="48">
        <v>0</v>
      </c>
      <c r="I225" s="48">
        <v>0</v>
      </c>
      <c r="J225" s="48"/>
      <c r="K225" s="427" t="s">
        <v>42</v>
      </c>
      <c r="L225" s="48">
        <v>0</v>
      </c>
      <c r="M225" s="48">
        <v>0</v>
      </c>
      <c r="N225" s="48">
        <v>0</v>
      </c>
    </row>
    <row r="226" spans="1:14" x14ac:dyDescent="0.25">
      <c r="A226" s="427" t="s">
        <v>216</v>
      </c>
      <c r="B226" s="48">
        <v>0</v>
      </c>
      <c r="C226" s="48">
        <v>0</v>
      </c>
      <c r="D226" s="48">
        <v>0.124803</v>
      </c>
      <c r="E226" s="48"/>
      <c r="F226" s="427" t="s">
        <v>45</v>
      </c>
      <c r="G226" s="48">
        <v>0.32709854999999999</v>
      </c>
      <c r="H226" s="48">
        <v>1.1478180000000001E-2</v>
      </c>
      <c r="I226" s="48">
        <v>0</v>
      </c>
      <c r="J226" s="48"/>
      <c r="K226" s="427" t="s">
        <v>43</v>
      </c>
      <c r="L226" s="48">
        <v>1.4770409999999999E-2</v>
      </c>
      <c r="M226" s="48">
        <v>1.1143000000000001E-4</v>
      </c>
      <c r="N226" s="48">
        <v>0</v>
      </c>
    </row>
    <row r="227" spans="1:14" x14ac:dyDescent="0.25">
      <c r="A227" s="427" t="s">
        <v>379</v>
      </c>
      <c r="B227" s="48">
        <v>7.116399000000001E-2</v>
      </c>
      <c r="C227" s="48">
        <v>0.36896739000000001</v>
      </c>
      <c r="D227" s="48">
        <v>8.8046240000000012E-2</v>
      </c>
      <c r="E227" s="48"/>
      <c r="F227" s="427" t="s">
        <v>47</v>
      </c>
      <c r="G227" s="48">
        <v>0</v>
      </c>
      <c r="H227" s="48">
        <v>2.8867419999999998E-2</v>
      </c>
      <c r="I227" s="48">
        <v>0</v>
      </c>
      <c r="J227" s="48"/>
      <c r="K227" s="427" t="s">
        <v>44</v>
      </c>
      <c r="L227" s="48">
        <v>0</v>
      </c>
      <c r="M227" s="48">
        <v>0</v>
      </c>
      <c r="N227" s="48">
        <v>0</v>
      </c>
    </row>
    <row r="228" spans="1:14" x14ac:dyDescent="0.25">
      <c r="A228" s="427" t="s">
        <v>46</v>
      </c>
      <c r="B228" s="48">
        <v>6.756645E-2</v>
      </c>
      <c r="C228" s="48">
        <v>3.566503E-2</v>
      </c>
      <c r="D228" s="48">
        <v>8.0462130000000007E-2</v>
      </c>
      <c r="E228" s="48"/>
      <c r="F228" s="427" t="s">
        <v>51</v>
      </c>
      <c r="G228" s="48">
        <v>0</v>
      </c>
      <c r="H228" s="48">
        <v>0</v>
      </c>
      <c r="I228" s="48">
        <v>0</v>
      </c>
      <c r="J228" s="48"/>
      <c r="K228" s="427" t="s">
        <v>46</v>
      </c>
      <c r="L228" s="48">
        <v>0</v>
      </c>
      <c r="M228" s="48">
        <v>0</v>
      </c>
      <c r="N228" s="48">
        <v>0</v>
      </c>
    </row>
    <row r="229" spans="1:14" x14ac:dyDescent="0.25">
      <c r="A229" s="427" t="s">
        <v>3</v>
      </c>
      <c r="B229" s="48">
        <v>2.90699744</v>
      </c>
      <c r="C229" s="48">
        <v>0.48604030999999998</v>
      </c>
      <c r="D229" s="48">
        <v>7.6260149999999999E-2</v>
      </c>
      <c r="E229" s="48"/>
      <c r="F229" s="427" t="s">
        <v>52</v>
      </c>
      <c r="G229" s="48">
        <v>0</v>
      </c>
      <c r="H229" s="48">
        <v>0</v>
      </c>
      <c r="I229" s="48">
        <v>0</v>
      </c>
      <c r="J229" s="48"/>
      <c r="K229" s="427" t="s">
        <v>49</v>
      </c>
      <c r="L229" s="48">
        <v>0</v>
      </c>
      <c r="M229" s="48">
        <v>0</v>
      </c>
      <c r="N229" s="48">
        <v>0</v>
      </c>
    </row>
    <row r="230" spans="1:14" x14ac:dyDescent="0.25">
      <c r="A230" s="427" t="s">
        <v>380</v>
      </c>
      <c r="B230" s="48">
        <v>0.62269726000000003</v>
      </c>
      <c r="C230" s="48">
        <v>0.10423007000000001</v>
      </c>
      <c r="D230" s="48">
        <v>5.9575160000000002E-2</v>
      </c>
      <c r="E230" s="48"/>
      <c r="F230" s="427" t="s">
        <v>355</v>
      </c>
      <c r="G230" s="48">
        <v>0</v>
      </c>
      <c r="H230" s="48">
        <v>0</v>
      </c>
      <c r="I230" s="48">
        <v>0</v>
      </c>
      <c r="J230" s="48"/>
      <c r="K230" s="427" t="s">
        <v>50</v>
      </c>
      <c r="L230" s="48">
        <v>0</v>
      </c>
      <c r="M230" s="48">
        <v>0</v>
      </c>
      <c r="N230" s="48">
        <v>0</v>
      </c>
    </row>
    <row r="231" spans="1:14" x14ac:dyDescent="0.25">
      <c r="A231" s="427" t="s">
        <v>396</v>
      </c>
      <c r="B231" s="48">
        <v>8.2355799999999993E-3</v>
      </c>
      <c r="C231" s="48">
        <v>7.2050160000000002E-2</v>
      </c>
      <c r="D231" s="48">
        <v>5.7677550000000001E-2</v>
      </c>
      <c r="E231" s="48"/>
      <c r="F231" s="427" t="s">
        <v>53</v>
      </c>
      <c r="G231" s="48">
        <v>0</v>
      </c>
      <c r="H231" s="48">
        <v>0</v>
      </c>
      <c r="I231" s="48">
        <v>0</v>
      </c>
      <c r="J231" s="48"/>
      <c r="K231" s="427" t="s">
        <v>52</v>
      </c>
      <c r="L231" s="48">
        <v>0</v>
      </c>
      <c r="M231" s="48">
        <v>0</v>
      </c>
      <c r="N231" s="48">
        <v>0</v>
      </c>
    </row>
    <row r="232" spans="1:14" x14ac:dyDescent="0.25">
      <c r="A232" s="427" t="s">
        <v>375</v>
      </c>
      <c r="B232" s="48">
        <v>0.61043006999999994</v>
      </c>
      <c r="C232" s="48">
        <v>0.99609656999999996</v>
      </c>
      <c r="D232" s="48">
        <v>4.371005E-2</v>
      </c>
      <c r="E232" s="48"/>
      <c r="F232" s="427" t="s">
        <v>55</v>
      </c>
      <c r="G232" s="48">
        <v>0</v>
      </c>
      <c r="H232" s="48">
        <v>1.375262E-2</v>
      </c>
      <c r="I232" s="48">
        <v>0</v>
      </c>
      <c r="J232" s="48"/>
      <c r="K232" s="427" t="s">
        <v>355</v>
      </c>
      <c r="L232" s="48">
        <v>0</v>
      </c>
      <c r="M232" s="48">
        <v>0</v>
      </c>
      <c r="N232" s="48">
        <v>0</v>
      </c>
    </row>
    <row r="233" spans="1:14" ht="12.65" customHeight="1" x14ac:dyDescent="0.25">
      <c r="A233" s="427" t="s">
        <v>41</v>
      </c>
      <c r="B233" s="48">
        <v>0.22692830999999999</v>
      </c>
      <c r="C233" s="48">
        <v>5.3455030000000001E-2</v>
      </c>
      <c r="D233" s="48">
        <v>4.061207E-2</v>
      </c>
      <c r="E233" s="48"/>
      <c r="F233" s="427" t="s">
        <v>56</v>
      </c>
      <c r="G233" s="48">
        <v>155.91374847</v>
      </c>
      <c r="H233" s="48">
        <v>0</v>
      </c>
      <c r="I233" s="48">
        <v>0</v>
      </c>
      <c r="J233" s="48"/>
      <c r="K233" s="427" t="s">
        <v>53</v>
      </c>
      <c r="L233" s="48">
        <v>0</v>
      </c>
      <c r="M233" s="48">
        <v>2.5000000000000001E-4</v>
      </c>
      <c r="N233" s="48">
        <v>0</v>
      </c>
    </row>
    <row r="234" spans="1:14" x14ac:dyDescent="0.25">
      <c r="A234" s="427" t="s">
        <v>130</v>
      </c>
      <c r="B234" s="48">
        <v>0.4851721</v>
      </c>
      <c r="C234" s="48">
        <v>0.78092980000000001</v>
      </c>
      <c r="D234" s="48">
        <v>3.2717780000000002E-2</v>
      </c>
      <c r="E234" s="48"/>
      <c r="F234" s="427" t="s">
        <v>57</v>
      </c>
      <c r="G234" s="48">
        <v>0</v>
      </c>
      <c r="H234" s="48">
        <v>0</v>
      </c>
      <c r="I234" s="48">
        <v>0</v>
      </c>
      <c r="J234" s="48"/>
      <c r="K234" s="427" t="s">
        <v>54</v>
      </c>
      <c r="L234" s="48">
        <v>5.9798000000000002E-4</v>
      </c>
      <c r="M234" s="48">
        <v>6.9540359999999996E-2</v>
      </c>
      <c r="N234" s="48">
        <v>0</v>
      </c>
    </row>
    <row r="235" spans="1:14" x14ac:dyDescent="0.25">
      <c r="A235" s="427" t="s">
        <v>61</v>
      </c>
      <c r="B235" s="48">
        <v>0</v>
      </c>
      <c r="C235" s="48">
        <v>8.2030969999999995E-2</v>
      </c>
      <c r="D235" s="48">
        <v>3.0595490000000003E-2</v>
      </c>
      <c r="E235" s="48"/>
      <c r="F235" s="427" t="s">
        <v>59</v>
      </c>
      <c r="G235" s="48">
        <v>0</v>
      </c>
      <c r="H235" s="48">
        <v>0</v>
      </c>
      <c r="I235" s="48">
        <v>0</v>
      </c>
      <c r="J235" s="48"/>
      <c r="K235" s="427" t="s">
        <v>56</v>
      </c>
      <c r="L235" s="48">
        <v>0</v>
      </c>
      <c r="M235" s="48">
        <v>0</v>
      </c>
      <c r="N235" s="48">
        <v>0</v>
      </c>
    </row>
    <row r="236" spans="1:14" x14ac:dyDescent="0.25">
      <c r="A236" s="427" t="s">
        <v>47</v>
      </c>
      <c r="B236" s="48">
        <v>3.2798879999999996E-2</v>
      </c>
      <c r="C236" s="48">
        <v>3.2513199999999999E-2</v>
      </c>
      <c r="D236" s="48">
        <v>2.6273790000000002E-2</v>
      </c>
      <c r="E236" s="48"/>
      <c r="F236" s="427" t="s">
        <v>61</v>
      </c>
      <c r="G236" s="48">
        <v>0</v>
      </c>
      <c r="H236" s="48">
        <v>6.0372000000000008E-4</v>
      </c>
      <c r="I236" s="48">
        <v>0</v>
      </c>
      <c r="J236" s="48"/>
      <c r="K236" s="427" t="s">
        <v>60</v>
      </c>
      <c r="L236" s="48">
        <v>0</v>
      </c>
      <c r="M236" s="48">
        <v>0</v>
      </c>
      <c r="N236" s="48">
        <v>0</v>
      </c>
    </row>
    <row r="237" spans="1:14" s="96" customFormat="1" ht="13" x14ac:dyDescent="0.3">
      <c r="A237" s="427" t="s">
        <v>366</v>
      </c>
      <c r="B237" s="48">
        <v>0</v>
      </c>
      <c r="C237" s="48">
        <v>0.14791599</v>
      </c>
      <c r="D237" s="48">
        <v>1.36851E-2</v>
      </c>
      <c r="E237" s="48"/>
      <c r="F237" s="427" t="s">
        <v>378</v>
      </c>
      <c r="G237" s="48">
        <v>0</v>
      </c>
      <c r="H237" s="48">
        <v>0</v>
      </c>
      <c r="I237" s="48">
        <v>0</v>
      </c>
      <c r="J237" s="48"/>
      <c r="K237" s="427" t="s">
        <v>61</v>
      </c>
      <c r="L237" s="48">
        <v>1.7480389999999998E-2</v>
      </c>
      <c r="M237" s="48">
        <v>0</v>
      </c>
      <c r="N237" s="48">
        <v>0</v>
      </c>
    </row>
    <row r="238" spans="1:14" x14ac:dyDescent="0.25">
      <c r="A238" s="427" t="s">
        <v>128</v>
      </c>
      <c r="B238" s="48">
        <v>1.5412500000000001E-3</v>
      </c>
      <c r="C238" s="48">
        <v>0.41312421000000005</v>
      </c>
      <c r="D238" s="48">
        <v>1.251946E-2</v>
      </c>
      <c r="E238" s="48"/>
      <c r="F238" s="427" t="s">
        <v>372</v>
      </c>
      <c r="G238" s="48">
        <v>0</v>
      </c>
      <c r="H238" s="48">
        <v>0</v>
      </c>
      <c r="I238" s="48">
        <v>0</v>
      </c>
      <c r="J238" s="48"/>
      <c r="K238" s="427" t="s">
        <v>63</v>
      </c>
      <c r="L238" s="48">
        <v>0</v>
      </c>
      <c r="M238" s="48">
        <v>0</v>
      </c>
      <c r="N238" s="48">
        <v>0</v>
      </c>
    </row>
    <row r="239" spans="1:14" x14ac:dyDescent="0.25">
      <c r="A239" s="427" t="s">
        <v>385</v>
      </c>
      <c r="B239" s="48">
        <v>7.6289863600000007</v>
      </c>
      <c r="C239" s="48">
        <v>5.4706099999999999E-3</v>
      </c>
      <c r="D239" s="48">
        <v>5.2608000000000004E-3</v>
      </c>
      <c r="E239" s="48"/>
      <c r="F239" s="427" t="s">
        <v>64</v>
      </c>
      <c r="G239" s="48">
        <v>0</v>
      </c>
      <c r="H239" s="48">
        <v>0</v>
      </c>
      <c r="I239" s="48">
        <v>0</v>
      </c>
      <c r="J239" s="48"/>
      <c r="K239" s="427" t="s">
        <v>378</v>
      </c>
      <c r="L239" s="48">
        <v>5.1080000000000006E-4</v>
      </c>
      <c r="M239" s="48">
        <v>0</v>
      </c>
      <c r="N239" s="48">
        <v>0</v>
      </c>
    </row>
    <row r="240" spans="1:14" x14ac:dyDescent="0.25">
      <c r="A240" s="427" t="s">
        <v>369</v>
      </c>
      <c r="B240" s="48">
        <v>2.9618419999999999E-2</v>
      </c>
      <c r="C240" s="48">
        <v>1.3517080000000001E-2</v>
      </c>
      <c r="D240" s="48">
        <v>3.7704099999999996E-3</v>
      </c>
      <c r="E240" s="48"/>
      <c r="F240" s="427" t="s">
        <v>366</v>
      </c>
      <c r="G240" s="48">
        <v>0</v>
      </c>
      <c r="H240" s="48">
        <v>0</v>
      </c>
      <c r="I240" s="48">
        <v>0</v>
      </c>
      <c r="J240" s="48"/>
      <c r="K240" s="427" t="s">
        <v>372</v>
      </c>
      <c r="L240" s="48">
        <v>0</v>
      </c>
      <c r="M240" s="48">
        <v>0</v>
      </c>
      <c r="N240" s="48">
        <v>0</v>
      </c>
    </row>
    <row r="241" spans="1:14" x14ac:dyDescent="0.25">
      <c r="A241" s="427" t="s">
        <v>370</v>
      </c>
      <c r="B241" s="48">
        <v>1.13448573</v>
      </c>
      <c r="C241" s="48">
        <v>1.5105299999999999E-3</v>
      </c>
      <c r="D241" s="48">
        <v>3.6062399999999997E-3</v>
      </c>
      <c r="E241" s="48"/>
      <c r="F241" s="427" t="s">
        <v>65</v>
      </c>
      <c r="G241" s="48">
        <v>5.5908260000000001E-2</v>
      </c>
      <c r="H241" s="48">
        <v>2.2790640899999999</v>
      </c>
      <c r="I241" s="48">
        <v>0</v>
      </c>
      <c r="J241" s="48"/>
      <c r="K241" s="427" t="s">
        <v>366</v>
      </c>
      <c r="L241" s="48">
        <v>0</v>
      </c>
      <c r="M241" s="48">
        <v>0</v>
      </c>
      <c r="N241" s="48">
        <v>0</v>
      </c>
    </row>
    <row r="242" spans="1:14" x14ac:dyDescent="0.25">
      <c r="A242" s="427" t="s">
        <v>355</v>
      </c>
      <c r="B242" s="48">
        <v>2.1921700000000002E-3</v>
      </c>
      <c r="C242" s="48">
        <v>1.649863E-2</v>
      </c>
      <c r="D242" s="48">
        <v>2.8990500000000002E-3</v>
      </c>
      <c r="E242" s="48"/>
      <c r="F242" s="427" t="s">
        <v>67</v>
      </c>
      <c r="G242" s="48">
        <v>8.0489099999999994E-3</v>
      </c>
      <c r="H242" s="48">
        <v>7.2345299999999994E-3</v>
      </c>
      <c r="I242" s="48">
        <v>0</v>
      </c>
      <c r="J242" s="48"/>
      <c r="K242" s="427" t="s">
        <v>66</v>
      </c>
      <c r="L242" s="48">
        <v>0.38910650000000002</v>
      </c>
      <c r="M242" s="48">
        <v>0</v>
      </c>
      <c r="N242" s="48">
        <v>0</v>
      </c>
    </row>
    <row r="243" spans="1:14" x14ac:dyDescent="0.25">
      <c r="A243" s="427" t="s">
        <v>32</v>
      </c>
      <c r="B243" s="48">
        <v>1.524632</v>
      </c>
      <c r="C243" s="48">
        <v>7.7449999999999999E-5</v>
      </c>
      <c r="D243" s="48">
        <v>2.4664499999999998E-3</v>
      </c>
      <c r="E243" s="48"/>
      <c r="F243" s="427" t="s">
        <v>69</v>
      </c>
      <c r="G243" s="48">
        <v>0.73635346000000002</v>
      </c>
      <c r="H243" s="48">
        <v>1.6585899999999999E-3</v>
      </c>
      <c r="I243" s="48">
        <v>0</v>
      </c>
      <c r="J243" s="48"/>
      <c r="K243" s="427" t="s">
        <v>68</v>
      </c>
      <c r="L243" s="48">
        <v>0</v>
      </c>
      <c r="M243" s="48">
        <v>0</v>
      </c>
      <c r="N243" s="48">
        <v>0</v>
      </c>
    </row>
    <row r="244" spans="1:14" x14ac:dyDescent="0.25">
      <c r="A244" s="427" t="s">
        <v>404</v>
      </c>
      <c r="B244" s="48">
        <v>1.526248E-2</v>
      </c>
      <c r="C244" s="48">
        <v>0</v>
      </c>
      <c r="D244" s="48">
        <v>1.8345200000000001E-3</v>
      </c>
      <c r="E244" s="48"/>
      <c r="F244" s="427" t="s">
        <v>70</v>
      </c>
      <c r="G244" s="48">
        <v>0.19990570999999999</v>
      </c>
      <c r="H244" s="48">
        <v>0.29363079999999997</v>
      </c>
      <c r="I244" s="48">
        <v>0</v>
      </c>
      <c r="J244" s="48"/>
      <c r="K244" s="427" t="s">
        <v>85</v>
      </c>
      <c r="L244" s="48">
        <v>1.5084600000000001E-3</v>
      </c>
      <c r="M244" s="48">
        <v>0</v>
      </c>
      <c r="N244" s="48">
        <v>0</v>
      </c>
    </row>
    <row r="245" spans="1:14" x14ac:dyDescent="0.25">
      <c r="A245" s="427" t="s">
        <v>377</v>
      </c>
      <c r="B245" s="48">
        <v>0</v>
      </c>
      <c r="C245" s="48">
        <v>2.5893800000000001E-3</v>
      </c>
      <c r="D245" s="48">
        <v>9.0994000000000003E-4</v>
      </c>
      <c r="E245" s="48"/>
      <c r="F245" s="427" t="s">
        <v>77</v>
      </c>
      <c r="G245" s="48">
        <v>0</v>
      </c>
      <c r="H245" s="48">
        <v>0</v>
      </c>
      <c r="I245" s="48">
        <v>0</v>
      </c>
      <c r="J245" s="48"/>
      <c r="K245" s="427" t="s">
        <v>367</v>
      </c>
      <c r="L245" s="48">
        <v>0</v>
      </c>
      <c r="M245" s="48">
        <v>1.2125E-2</v>
      </c>
      <c r="N245" s="48">
        <v>0</v>
      </c>
    </row>
    <row r="246" spans="1:14" x14ac:dyDescent="0.25">
      <c r="A246" s="427" t="s">
        <v>51</v>
      </c>
      <c r="B246" s="48">
        <v>0</v>
      </c>
      <c r="C246" s="48">
        <v>0</v>
      </c>
      <c r="D246" s="48">
        <v>4.1906000000000002E-4</v>
      </c>
      <c r="E246" s="48"/>
      <c r="F246" s="427" t="s">
        <v>94</v>
      </c>
      <c r="G246" s="48">
        <v>3.3440000000000002E-3</v>
      </c>
      <c r="H246" s="48">
        <v>0</v>
      </c>
      <c r="I246" s="48">
        <v>0</v>
      </c>
      <c r="J246" s="48"/>
      <c r="K246" s="427" t="s">
        <v>99</v>
      </c>
      <c r="L246" s="48">
        <v>0</v>
      </c>
      <c r="M246" s="48">
        <v>0</v>
      </c>
      <c r="N246" s="48">
        <v>0</v>
      </c>
    </row>
    <row r="247" spans="1:14" x14ac:dyDescent="0.25">
      <c r="A247" s="427" t="s">
        <v>402</v>
      </c>
      <c r="B247" s="48">
        <v>1.2411400000000002E-3</v>
      </c>
      <c r="C247" s="48">
        <v>6.5894600000000001E-3</v>
      </c>
      <c r="D247" s="48">
        <v>2.5483999999999999E-4</v>
      </c>
      <c r="E247" s="48"/>
      <c r="F247" s="427" t="s">
        <v>97</v>
      </c>
      <c r="G247" s="48">
        <v>9.8868830000000005E-2</v>
      </c>
      <c r="H247" s="48">
        <v>0</v>
      </c>
      <c r="I247" s="48">
        <v>0</v>
      </c>
      <c r="J247" s="48"/>
      <c r="K247" s="427" t="s">
        <v>379</v>
      </c>
      <c r="L247" s="48">
        <v>0</v>
      </c>
      <c r="M247" s="48">
        <v>6.8161699999999999E-3</v>
      </c>
      <c r="N247" s="48">
        <v>0</v>
      </c>
    </row>
    <row r="248" spans="1:14" x14ac:dyDescent="0.25">
      <c r="A248" s="427" t="s">
        <v>1</v>
      </c>
      <c r="B248" s="48">
        <v>6.2436999999999996E-4</v>
      </c>
      <c r="C248" s="48">
        <v>6.8599999999999998E-4</v>
      </c>
      <c r="D248" s="48">
        <v>0</v>
      </c>
      <c r="E248" s="48"/>
      <c r="F248" s="427" t="s">
        <v>99</v>
      </c>
      <c r="G248" s="48">
        <v>0</v>
      </c>
      <c r="H248" s="48">
        <v>0</v>
      </c>
      <c r="I248" s="48">
        <v>0</v>
      </c>
      <c r="J248" s="48"/>
      <c r="K248" s="427" t="s">
        <v>356</v>
      </c>
      <c r="L248" s="48">
        <v>0</v>
      </c>
      <c r="M248" s="48">
        <v>4.1668900000000004E-3</v>
      </c>
      <c r="N248" s="48">
        <v>0</v>
      </c>
    </row>
    <row r="249" spans="1:14" x14ac:dyDescent="0.25">
      <c r="A249" s="427" t="s">
        <v>7</v>
      </c>
      <c r="B249" s="48">
        <v>1.7881024999999999</v>
      </c>
      <c r="C249" s="48">
        <v>5.0818900000000004E-3</v>
      </c>
      <c r="D249" s="48">
        <v>0</v>
      </c>
      <c r="E249" s="48"/>
      <c r="F249" s="427" t="s">
        <v>379</v>
      </c>
      <c r="G249" s="48">
        <v>0</v>
      </c>
      <c r="H249" s="48">
        <v>2.36959E-3</v>
      </c>
      <c r="I249" s="48">
        <v>0</v>
      </c>
      <c r="J249" s="48"/>
      <c r="K249" s="427" t="s">
        <v>383</v>
      </c>
      <c r="L249" s="48">
        <v>7.1747020000000009E-2</v>
      </c>
      <c r="M249" s="48">
        <v>2.0701959999999998E-2</v>
      </c>
      <c r="N249" s="48">
        <v>0</v>
      </c>
    </row>
    <row r="250" spans="1:14" x14ac:dyDescent="0.25">
      <c r="A250" s="427" t="s">
        <v>403</v>
      </c>
      <c r="B250" s="48">
        <v>0</v>
      </c>
      <c r="C250" s="48">
        <v>0</v>
      </c>
      <c r="D250" s="48">
        <v>0</v>
      </c>
      <c r="E250" s="48"/>
      <c r="F250" s="427" t="s">
        <v>396</v>
      </c>
      <c r="G250" s="48">
        <v>0</v>
      </c>
      <c r="H250" s="48">
        <v>0</v>
      </c>
      <c r="I250" s="48">
        <v>0</v>
      </c>
      <c r="J250" s="48"/>
      <c r="K250" s="427" t="s">
        <v>368</v>
      </c>
      <c r="L250" s="48">
        <v>2.644823E-2</v>
      </c>
      <c r="M250" s="48">
        <v>0</v>
      </c>
      <c r="N250" s="48">
        <v>0</v>
      </c>
    </row>
    <row r="251" spans="1:14" x14ac:dyDescent="0.25">
      <c r="A251" s="427" t="s">
        <v>40</v>
      </c>
      <c r="B251" s="48">
        <v>1.8153470000000001E-2</v>
      </c>
      <c r="C251" s="48">
        <v>0</v>
      </c>
      <c r="D251" s="48">
        <v>0</v>
      </c>
      <c r="E251" s="48"/>
      <c r="F251" s="427" t="s">
        <v>128</v>
      </c>
      <c r="G251" s="48">
        <v>0</v>
      </c>
      <c r="H251" s="48">
        <v>0</v>
      </c>
      <c r="I251" s="48">
        <v>0</v>
      </c>
      <c r="J251" s="48"/>
      <c r="K251" s="427" t="s">
        <v>130</v>
      </c>
      <c r="L251" s="48">
        <v>0</v>
      </c>
      <c r="M251" s="48">
        <v>0</v>
      </c>
      <c r="N251" s="48">
        <v>0</v>
      </c>
    </row>
    <row r="252" spans="1:14" x14ac:dyDescent="0.25">
      <c r="A252" s="427" t="s">
        <v>376</v>
      </c>
      <c r="B252" s="48">
        <v>7.0258400000000002E-3</v>
      </c>
      <c r="C252" s="48">
        <v>0</v>
      </c>
      <c r="D252" s="48">
        <v>0</v>
      </c>
      <c r="E252" s="48"/>
      <c r="F252" s="427" t="s">
        <v>370</v>
      </c>
      <c r="G252" s="48">
        <v>1.6284469999999999E-2</v>
      </c>
      <c r="H252" s="48">
        <v>0</v>
      </c>
      <c r="I252" s="48">
        <v>0</v>
      </c>
      <c r="J252" s="48"/>
      <c r="K252" s="427" t="s">
        <v>401</v>
      </c>
      <c r="L252" s="48">
        <v>0</v>
      </c>
      <c r="M252" s="48">
        <v>0</v>
      </c>
      <c r="N252" s="48">
        <v>0</v>
      </c>
    </row>
    <row r="253" spans="1:14" x14ac:dyDescent="0.25">
      <c r="A253" s="427" t="s">
        <v>49</v>
      </c>
      <c r="B253" s="48">
        <v>0</v>
      </c>
      <c r="C253" s="48">
        <v>0</v>
      </c>
      <c r="D253" s="48">
        <v>0</v>
      </c>
      <c r="E253" s="48"/>
      <c r="F253" s="427" t="s">
        <v>130</v>
      </c>
      <c r="G253" s="48">
        <v>0</v>
      </c>
      <c r="H253" s="48">
        <v>0</v>
      </c>
      <c r="I253" s="48">
        <v>0</v>
      </c>
      <c r="J253" s="48"/>
      <c r="K253" s="427" t="s">
        <v>145</v>
      </c>
      <c r="L253" s="48">
        <v>0</v>
      </c>
      <c r="M253" s="48">
        <v>0</v>
      </c>
      <c r="N253" s="48">
        <v>0</v>
      </c>
    </row>
    <row r="254" spans="1:14" x14ac:dyDescent="0.25">
      <c r="A254" s="427" t="s">
        <v>50</v>
      </c>
      <c r="B254" s="48">
        <v>0</v>
      </c>
      <c r="C254" s="48">
        <v>5.932E-4</v>
      </c>
      <c r="D254" s="48">
        <v>0</v>
      </c>
      <c r="E254" s="48"/>
      <c r="F254" s="427" t="s">
        <v>401</v>
      </c>
      <c r="G254" s="48">
        <v>0</v>
      </c>
      <c r="H254" s="48">
        <v>0</v>
      </c>
      <c r="I254" s="48">
        <v>0</v>
      </c>
      <c r="J254" s="48"/>
      <c r="K254" s="427" t="s">
        <v>153</v>
      </c>
      <c r="L254" s="48">
        <v>1.4242030000000001E-2</v>
      </c>
      <c r="M254" s="48">
        <v>6.0996899999999996E-3</v>
      </c>
      <c r="N254" s="48">
        <v>0</v>
      </c>
    </row>
    <row r="255" spans="1:14" x14ac:dyDescent="0.25">
      <c r="A255" s="427" t="s">
        <v>53</v>
      </c>
      <c r="B255" s="48">
        <v>0</v>
      </c>
      <c r="C255" s="48">
        <v>0</v>
      </c>
      <c r="D255" s="48">
        <v>0</v>
      </c>
      <c r="E255" s="48"/>
      <c r="F255" s="427" t="s">
        <v>377</v>
      </c>
      <c r="G255" s="48">
        <v>0</v>
      </c>
      <c r="H255" s="48">
        <v>1.0179200000000001E-3</v>
      </c>
      <c r="I255" s="48">
        <v>0</v>
      </c>
      <c r="J255" s="48"/>
      <c r="K255" s="427" t="s">
        <v>358</v>
      </c>
      <c r="L255" s="48">
        <v>0</v>
      </c>
      <c r="M255" s="48">
        <v>0</v>
      </c>
      <c r="N255" s="48">
        <v>0</v>
      </c>
    </row>
    <row r="256" spans="1:14" x14ac:dyDescent="0.25">
      <c r="A256" s="427" t="s">
        <v>56</v>
      </c>
      <c r="B256" s="48">
        <v>0</v>
      </c>
      <c r="C256" s="48">
        <v>3.5279999999999999E-2</v>
      </c>
      <c r="D256" s="48">
        <v>0</v>
      </c>
      <c r="E256" s="48"/>
      <c r="F256" s="427" t="s">
        <v>371</v>
      </c>
      <c r="G256" s="48">
        <v>0</v>
      </c>
      <c r="H256" s="48">
        <v>0.98915631000000004</v>
      </c>
      <c r="I256" s="48">
        <v>0</v>
      </c>
      <c r="J256" s="48"/>
      <c r="K256" s="427" t="s">
        <v>179</v>
      </c>
      <c r="L256" s="48">
        <v>0</v>
      </c>
      <c r="M256" s="48">
        <v>0</v>
      </c>
      <c r="N256" s="48">
        <v>0</v>
      </c>
    </row>
    <row r="257" spans="1:14" x14ac:dyDescent="0.25">
      <c r="A257" s="427" t="s">
        <v>65</v>
      </c>
      <c r="B257" s="48">
        <v>0.75876063999999999</v>
      </c>
      <c r="C257" s="48">
        <v>0.36354040999999998</v>
      </c>
      <c r="D257" s="48">
        <v>0</v>
      </c>
      <c r="E257" s="48"/>
      <c r="F257" s="427" t="s">
        <v>141</v>
      </c>
      <c r="G257" s="48">
        <v>6.8423220000000007E-2</v>
      </c>
      <c r="H257" s="48">
        <v>0.23303715999999999</v>
      </c>
      <c r="I257" s="48">
        <v>0</v>
      </c>
      <c r="J257" s="48"/>
      <c r="K257" s="427" t="s">
        <v>384</v>
      </c>
      <c r="L257" s="48">
        <v>0</v>
      </c>
      <c r="M257" s="48">
        <v>0</v>
      </c>
      <c r="N257" s="48">
        <v>0</v>
      </c>
    </row>
    <row r="258" spans="1:14" x14ac:dyDescent="0.25">
      <c r="A258" s="427" t="s">
        <v>77</v>
      </c>
      <c r="B258" s="48">
        <v>2.783712E-2</v>
      </c>
      <c r="C258" s="48">
        <v>0.15435289000000002</v>
      </c>
      <c r="D258" s="48">
        <v>0</v>
      </c>
      <c r="E258" s="48"/>
      <c r="F258" s="427" t="s">
        <v>184</v>
      </c>
      <c r="G258" s="48">
        <v>0</v>
      </c>
      <c r="H258" s="48">
        <v>0.17627235999999999</v>
      </c>
      <c r="I258" s="48">
        <v>0</v>
      </c>
      <c r="J258" s="48"/>
      <c r="K258" s="427" t="s">
        <v>186</v>
      </c>
      <c r="L258" s="48">
        <v>0</v>
      </c>
      <c r="M258" s="48">
        <v>0</v>
      </c>
      <c r="N258" s="48">
        <v>0</v>
      </c>
    </row>
    <row r="259" spans="1:14" x14ac:dyDescent="0.25">
      <c r="A259" s="427" t="s">
        <v>99</v>
      </c>
      <c r="B259" s="48">
        <v>0</v>
      </c>
      <c r="C259" s="48">
        <v>0</v>
      </c>
      <c r="D259" s="48">
        <v>0</v>
      </c>
      <c r="E259" s="48"/>
      <c r="F259" s="427" t="s">
        <v>374</v>
      </c>
      <c r="G259" s="48">
        <v>0</v>
      </c>
      <c r="H259" s="48">
        <v>0</v>
      </c>
      <c r="I259" s="48">
        <v>0</v>
      </c>
      <c r="J259" s="48"/>
      <c r="K259" s="427" t="s">
        <v>203</v>
      </c>
      <c r="L259" s="48">
        <v>1.0571799999999999E-2</v>
      </c>
      <c r="M259" s="48">
        <v>1.04308186</v>
      </c>
      <c r="N259" s="48">
        <v>0</v>
      </c>
    </row>
    <row r="260" spans="1:14" x14ac:dyDescent="0.25">
      <c r="A260" s="428" t="s">
        <v>401</v>
      </c>
      <c r="B260" s="49">
        <v>5.8600500000000003E-3</v>
      </c>
      <c r="C260" s="49">
        <v>0</v>
      </c>
      <c r="D260" s="49">
        <v>0</v>
      </c>
      <c r="E260" s="49"/>
      <c r="F260" s="428" t="s">
        <v>216</v>
      </c>
      <c r="G260" s="49">
        <v>0</v>
      </c>
      <c r="H260" s="49">
        <v>0</v>
      </c>
      <c r="I260" s="49">
        <v>0</v>
      </c>
      <c r="J260" s="49"/>
      <c r="K260" s="428" t="s">
        <v>216</v>
      </c>
      <c r="L260" s="49">
        <v>6.8678000000000001E-4</v>
      </c>
      <c r="M260" s="49">
        <v>0</v>
      </c>
      <c r="N260" s="49">
        <v>0</v>
      </c>
    </row>
    <row r="261" spans="1:14" x14ac:dyDescent="0.25">
      <c r="A261" s="113"/>
      <c r="B261" s="25">
        <f>SUBTOTAL(109,Table356353[Column2])</f>
        <v>8735.5657671960998</v>
      </c>
      <c r="C261" s="25">
        <f>SUBTOTAL(109,Table356353[Column3])</f>
        <v>9117.3506467199986</v>
      </c>
      <c r="D261" s="25">
        <f>SUBTOTAL(109,Table356353[Column4])</f>
        <v>9050.1456695600027</v>
      </c>
      <c r="E261" s="21"/>
      <c r="F261" s="113"/>
      <c r="G261" s="25">
        <f>SUBTOTAL(109,Table366454[Column2])</f>
        <v>5222.6349765500026</v>
      </c>
      <c r="H261" s="25">
        <f>SUBTOTAL(109,Table366454[Column3])</f>
        <v>5667.2197933899943</v>
      </c>
      <c r="I261" s="25">
        <f>SUBTOTAL(109,Table366454[Column4])</f>
        <v>4809.4233399899913</v>
      </c>
      <c r="J261" s="21"/>
      <c r="K261" s="113"/>
      <c r="L261" s="25">
        <f>SUBTOTAL(109,Table416555[Column2])</f>
        <v>3348.8044424299978</v>
      </c>
      <c r="M261" s="25">
        <f>SUBTOTAL(109,Table416555[Column3])</f>
        <v>1281.6433530000013</v>
      </c>
      <c r="N261" s="25">
        <f>SUBTOTAL(109,Table416555[Column4])</f>
        <v>548.32168811999918</v>
      </c>
    </row>
    <row r="264" spans="1:14" x14ac:dyDescent="0.25">
      <c r="C264" s="35"/>
      <c r="G264" s="35"/>
      <c r="H264" s="45"/>
    </row>
    <row r="265" spans="1:14" x14ac:dyDescent="0.25">
      <c r="C265" s="35"/>
      <c r="H265" s="18"/>
    </row>
    <row r="266" spans="1:14" x14ac:dyDescent="0.25">
      <c r="C266" s="35"/>
      <c r="D266" s="35"/>
    </row>
  </sheetData>
  <mergeCells count="6">
    <mergeCell ref="A2:D2"/>
    <mergeCell ref="K2:N2"/>
    <mergeCell ref="F2:I2"/>
    <mergeCell ref="C3:D3"/>
    <mergeCell ref="H3:I3"/>
    <mergeCell ref="M3:N3"/>
  </mergeCells>
  <hyperlinks>
    <hyperlink ref="P1" location="'Table of Content'!A1" display="Table of Content" xr:uid="{18186275-44FB-4BF6-87F7-780923D814B5}"/>
  </hyperlinks>
  <pageMargins left="0.7" right="0.7" top="0.75" bottom="0.75" header="0.3" footer="0.3"/>
  <pageSetup scale="44"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690-628B-46DD-A919-69BF9EA4C727}">
  <dimension ref="A1:I12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26953125" style="1" customWidth="1"/>
    <col min="2" max="4" width="11.1796875" style="1" bestFit="1" customWidth="1"/>
    <col min="5" max="5" width="13.54296875" style="1" bestFit="1" customWidth="1"/>
    <col min="6" max="6" width="11.81640625" style="1" bestFit="1" customWidth="1"/>
    <col min="7" max="8" width="11.1796875" style="1" bestFit="1" customWidth="1"/>
    <col min="9" max="11" width="9.1796875" style="1"/>
    <col min="12" max="14" width="11.1796875" style="1" bestFit="1" customWidth="1"/>
    <col min="15" max="16384" width="9.1796875" style="1"/>
  </cols>
  <sheetData>
    <row r="1" spans="1:9" ht="13" x14ac:dyDescent="0.3">
      <c r="A1" s="590" t="s">
        <v>406</v>
      </c>
      <c r="B1" s="590"/>
      <c r="C1" s="590"/>
      <c r="D1" s="590"/>
      <c r="H1" s="577" t="s">
        <v>239</v>
      </c>
      <c r="I1" s="577"/>
    </row>
    <row r="2" spans="1:9" ht="13" x14ac:dyDescent="0.3">
      <c r="A2" s="107" t="s">
        <v>394</v>
      </c>
      <c r="B2" s="106">
        <v>45597</v>
      </c>
      <c r="C2" s="106">
        <v>45931</v>
      </c>
      <c r="D2" s="106">
        <v>45962</v>
      </c>
      <c r="E2" s="106" t="s">
        <v>452</v>
      </c>
      <c r="F2" s="106" t="s">
        <v>453</v>
      </c>
    </row>
    <row r="3" spans="1:9" x14ac:dyDescent="0.25">
      <c r="A3" s="67" t="s">
        <v>392</v>
      </c>
      <c r="B3" s="139">
        <v>265570.09351999901</v>
      </c>
      <c r="C3" s="139">
        <v>335171.699030002</v>
      </c>
      <c r="D3" s="447">
        <v>289051.559000001</v>
      </c>
      <c r="E3" s="88">
        <f>((Table43146663[[#This Row],[Column4]]/Table43146663[[#This Row],[Column3]])-1)*100</f>
        <v>-13.760153426877686</v>
      </c>
      <c r="F3" s="88">
        <f>((Table43146663[[#This Row],[Column4]]/Table43146663[[#This Row],[Column2]])-1)*100</f>
        <v>8.8419088041002283</v>
      </c>
    </row>
    <row r="4" spans="1:9" x14ac:dyDescent="0.25">
      <c r="A4" s="30" t="s">
        <v>391</v>
      </c>
      <c r="B4" s="65">
        <v>284228.773375094</v>
      </c>
      <c r="C4" s="65">
        <v>252499.75215309201</v>
      </c>
      <c r="D4" s="446">
        <v>247144.61689129498</v>
      </c>
      <c r="E4" s="85">
        <f>((Table43146663[[#This Row],[Column4]]/Table43146663[[#This Row],[Column3]])-1)*100</f>
        <v>-2.1208477300010076</v>
      </c>
      <c r="F4" s="85">
        <f>((Table43146663[[#This Row],[Column4]]/Table43146663[[#This Row],[Column2]])-1)*100</f>
        <v>-13.047291462943978</v>
      </c>
    </row>
    <row r="5" spans="1:9" x14ac:dyDescent="0.25">
      <c r="A5" s="30" t="s">
        <v>390</v>
      </c>
      <c r="B5" s="65">
        <v>448.86918000000099</v>
      </c>
      <c r="C5" s="65">
        <v>182.207089999999</v>
      </c>
      <c r="D5" s="446">
        <v>199.43943000000101</v>
      </c>
      <c r="E5" s="85">
        <f>((Table43146663[[#This Row],[Column4]]/Table43146663[[#This Row],[Column3]])-1)*100</f>
        <v>9.4575573321554742</v>
      </c>
      <c r="F5" s="85">
        <f>((Table43146663[[#This Row],[Column4]]/Table43146663[[#This Row],[Column2]])-1)*100</f>
        <v>-55.56847320192476</v>
      </c>
      <c r="G5" s="2"/>
    </row>
    <row r="6" spans="1:9" x14ac:dyDescent="0.25">
      <c r="A6" s="30" t="s">
        <v>449</v>
      </c>
      <c r="B6" s="65">
        <v>13.40832</v>
      </c>
      <c r="C6" s="65">
        <v>77.493710000000092</v>
      </c>
      <c r="D6" s="446">
        <v>89.469649999999987</v>
      </c>
      <c r="E6" s="85">
        <f>((Table43146663[[#This Row],[Column4]]/Table43146663[[#This Row],[Column3]])-1)*100</f>
        <v>15.454080079531462</v>
      </c>
      <c r="F6" s="85">
        <f>((Table43146663[[#This Row],[Column4]]/Table43146663[[#This Row],[Column2]])-1)*100</f>
        <v>567.26965048566854</v>
      </c>
    </row>
    <row r="7" spans="1:9" x14ac:dyDescent="0.25">
      <c r="A7" s="30" t="s">
        <v>389</v>
      </c>
      <c r="B7" s="65">
        <v>0</v>
      </c>
      <c r="C7" s="65">
        <v>2.2461799999999998</v>
      </c>
      <c r="D7" s="446">
        <v>1.9810000000000001</v>
      </c>
      <c r="E7" s="85">
        <f>((Table43146663[[#This Row],[Column4]]/Table43146663[[#This Row],[Column3]])-1)*100</f>
        <v>-11.805821439065422</v>
      </c>
      <c r="F7" s="85" t="s">
        <v>240</v>
      </c>
    </row>
    <row r="8" spans="1:9" x14ac:dyDescent="0.25">
      <c r="A8" s="68" t="s">
        <v>980</v>
      </c>
      <c r="B8" s="52">
        <v>13.563000000000001</v>
      </c>
      <c r="C8" s="52">
        <v>0</v>
      </c>
      <c r="D8" s="445">
        <v>4.4999999999999998E-2</v>
      </c>
      <c r="E8" s="346" t="s">
        <v>240</v>
      </c>
      <c r="F8" s="346">
        <f>((Table43146663[[#This Row],[Column4]]/Table43146663[[#This Row],[Column2]])-1)*100</f>
        <v>-99.668214996682153</v>
      </c>
    </row>
    <row r="9" spans="1:9" ht="13" x14ac:dyDescent="0.3">
      <c r="A9" s="109" t="s">
        <v>217</v>
      </c>
      <c r="B9" s="168">
        <f>SUBTOTAL(109,B3:B8)</f>
        <v>550274.70739509305</v>
      </c>
      <c r="C9" s="168">
        <f>SUBTOTAL(109,C3:C8)</f>
        <v>587933.39816309395</v>
      </c>
      <c r="D9" s="168">
        <f>SUBTOTAL(109,D3:D8)</f>
        <v>536487.11097129609</v>
      </c>
      <c r="E9" s="154">
        <f>((Table43146663[[#This Row],[Column4]]/Table43146663[[#This Row],[Column3]])-1)*100</f>
        <v>-8.7503597095408665</v>
      </c>
      <c r="F9" s="155">
        <f>((Table43146663[[#This Row],[Column4]]/Table43146663[[#This Row],[Column2]])-1)*100</f>
        <v>-2.5055842542836659</v>
      </c>
    </row>
    <row r="10" spans="1:9" x14ac:dyDescent="0.25">
      <c r="B10" s="8"/>
      <c r="C10" s="8"/>
      <c r="D10" s="8"/>
    </row>
    <row r="11" spans="1:9" x14ac:dyDescent="0.25">
      <c r="D11" s="14"/>
    </row>
    <row r="12" spans="1:9" x14ac:dyDescent="0.25">
      <c r="C12" s="2"/>
      <c r="D12" s="14"/>
    </row>
  </sheetData>
  <mergeCells count="2">
    <mergeCell ref="A1:D1"/>
    <mergeCell ref="H1:I1"/>
  </mergeCells>
  <hyperlinks>
    <hyperlink ref="H1" location="'Table of Content'!A1" display="Table of Content" xr:uid="{D5FE9C2F-4936-4CD6-8CC0-61A49BBDBA6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D686-33AB-434B-9B36-ADD26408CE0F}">
  <dimension ref="A1:AG2344"/>
  <sheetViews>
    <sheetView zoomScaleNormal="100" workbookViewId="0">
      <selection activeCell="A3" sqref="A3"/>
    </sheetView>
  </sheetViews>
  <sheetFormatPr defaultColWidth="8.81640625" defaultRowHeight="12.5" x14ac:dyDescent="0.25"/>
  <cols>
    <col min="1" max="1" width="26.54296875" style="20" customWidth="1"/>
    <col min="2" max="2" width="13.81640625" style="20" bestFit="1" customWidth="1"/>
    <col min="3" max="3" width="10.7265625" style="20" customWidth="1"/>
    <col min="4" max="4" width="40.81640625" style="20" customWidth="1"/>
    <col min="5" max="5" width="15.36328125" style="20" customWidth="1"/>
    <col min="6" max="6" width="6.81640625" style="1" customWidth="1"/>
    <col min="7" max="7" width="12.7265625" style="1" customWidth="1"/>
    <col min="8" max="8" width="18.7265625" style="1" customWidth="1"/>
    <col min="9" max="9" width="12.453125" style="1" bestFit="1" customWidth="1"/>
    <col min="10" max="10" width="13.6328125" style="347" bestFit="1" customWidth="1"/>
    <col min="11" max="11" width="14.54296875" style="1" bestFit="1" customWidth="1"/>
    <col min="12" max="12" width="38" style="55" customWidth="1"/>
    <col min="13" max="13" width="13.81640625" style="160" bestFit="1" customWidth="1"/>
    <col min="14" max="14" width="7.36328125" style="160" bestFit="1" customWidth="1"/>
    <col min="15" max="15" width="42.54296875" style="55" customWidth="1"/>
    <col min="16" max="16" width="15.453125" style="4" bestFit="1" customWidth="1"/>
    <col min="17" max="17" width="8.453125" style="1" customWidth="1"/>
    <col min="18" max="21" width="6.81640625" style="1" customWidth="1"/>
    <col min="22" max="23" width="8.81640625" style="1"/>
    <col min="24" max="24" width="12.90625" style="1" customWidth="1"/>
    <col min="25" max="26" width="8.81640625" style="1"/>
    <col min="27" max="27" width="40.7265625" style="1" customWidth="1"/>
    <col min="28" max="28" width="12.7265625" style="4" bestFit="1" customWidth="1"/>
    <col min="29" max="31" width="8.81640625" style="1"/>
    <col min="32" max="32" width="9" style="1" bestFit="1" customWidth="1"/>
    <col min="33" max="33" width="11.36328125" style="1" bestFit="1" customWidth="1"/>
    <col min="34" max="16384" width="8.81640625" style="1"/>
  </cols>
  <sheetData>
    <row r="1" spans="1:33" s="3" customFormat="1" ht="13" x14ac:dyDescent="0.3">
      <c r="A1" s="11" t="s">
        <v>1003</v>
      </c>
      <c r="B1" s="11"/>
      <c r="C1" s="11"/>
      <c r="D1" s="11"/>
      <c r="E1" s="11"/>
      <c r="G1" s="11" t="s">
        <v>1002</v>
      </c>
      <c r="J1" s="348"/>
      <c r="L1" s="33" t="s">
        <v>1001</v>
      </c>
      <c r="M1" s="157"/>
      <c r="N1" s="157"/>
      <c r="O1" s="19"/>
      <c r="P1" s="70"/>
      <c r="S1" s="7" t="s">
        <v>239</v>
      </c>
      <c r="AB1" s="70"/>
    </row>
    <row r="2" spans="1:33" ht="13" x14ac:dyDescent="0.3">
      <c r="A2" s="130" t="s">
        <v>426</v>
      </c>
      <c r="B2" s="130" t="s">
        <v>243</v>
      </c>
      <c r="C2" s="129"/>
      <c r="D2" s="26" t="s">
        <v>426</v>
      </c>
      <c r="E2" s="26" t="s">
        <v>219</v>
      </c>
      <c r="F2" s="128"/>
      <c r="G2" s="89" t="s">
        <v>218</v>
      </c>
      <c r="H2" s="62" t="s">
        <v>220</v>
      </c>
      <c r="I2" s="6" t="s">
        <v>243</v>
      </c>
      <c r="J2" s="349" t="s">
        <v>219</v>
      </c>
      <c r="L2" s="158" t="s">
        <v>424</v>
      </c>
      <c r="M2" s="158" t="s">
        <v>425</v>
      </c>
      <c r="N2" s="158" t="s">
        <v>234</v>
      </c>
      <c r="O2" s="158" t="s">
        <v>424</v>
      </c>
      <c r="P2" s="280" t="s">
        <v>423</v>
      </c>
      <c r="Q2" s="26" t="s">
        <v>234</v>
      </c>
    </row>
    <row r="3" spans="1:33" s="10" customFormat="1" ht="12.5" customHeight="1" x14ac:dyDescent="0.25">
      <c r="A3" s="469" t="s">
        <v>422</v>
      </c>
      <c r="B3" s="461">
        <v>3864.7897873800002</v>
      </c>
      <c r="C3" s="32"/>
      <c r="D3" s="470" t="s">
        <v>422</v>
      </c>
      <c r="E3" s="470">
        <v>4722.16439223</v>
      </c>
      <c r="F3" s="457"/>
      <c r="G3" s="557">
        <v>2024</v>
      </c>
      <c r="H3" s="124" t="s">
        <v>231</v>
      </c>
      <c r="I3" s="470">
        <v>0.90202800000000005</v>
      </c>
      <c r="J3" s="470">
        <v>5.7859730000000003</v>
      </c>
      <c r="L3" s="164" t="s">
        <v>115</v>
      </c>
      <c r="M3" s="151">
        <v>0.85269600000000001</v>
      </c>
      <c r="N3" s="351">
        <f t="shared" ref="N3:N8" si="0">(M3/$M$83)*100</f>
        <v>98.175438846961086</v>
      </c>
      <c r="O3" s="454" t="s">
        <v>89</v>
      </c>
      <c r="P3" s="458">
        <v>1.199994</v>
      </c>
      <c r="Q3" s="352">
        <f t="shared" ref="Q3:Q34" si="1">(P3/$P$83)*100</f>
        <v>16.770952206640743</v>
      </c>
      <c r="Y3" s="4"/>
      <c r="AA3" s="457"/>
      <c r="AB3" s="456"/>
      <c r="AF3" s="457"/>
      <c r="AG3" s="457"/>
    </row>
    <row r="4" spans="1:33" s="10" customFormat="1" ht="12.5" customHeight="1" x14ac:dyDescent="0.25">
      <c r="A4" s="469" t="s">
        <v>415</v>
      </c>
      <c r="B4" s="461">
        <v>2829.6219025800001</v>
      </c>
      <c r="C4" s="32"/>
      <c r="D4" s="458" t="s">
        <v>419</v>
      </c>
      <c r="E4" s="458">
        <v>3400.3212202600098</v>
      </c>
      <c r="F4" s="457"/>
      <c r="G4" s="559"/>
      <c r="H4" s="124" t="s">
        <v>232</v>
      </c>
      <c r="I4" s="458">
        <v>1.2387308400000001</v>
      </c>
      <c r="J4" s="458">
        <v>8.4852470899999997</v>
      </c>
      <c r="L4" s="164" t="s">
        <v>104</v>
      </c>
      <c r="M4" s="151">
        <v>9.7099999999999999E-3</v>
      </c>
      <c r="N4" s="351">
        <f t="shared" si="0"/>
        <v>1.1179640941249778</v>
      </c>
      <c r="O4" s="454" t="s">
        <v>112</v>
      </c>
      <c r="P4" s="458">
        <v>1.1401762099999999</v>
      </c>
      <c r="Q4" s="352">
        <f t="shared" si="1"/>
        <v>15.934946945617046</v>
      </c>
      <c r="Y4" s="4"/>
      <c r="AA4" s="457"/>
      <c r="AB4" s="456"/>
      <c r="AF4" s="457"/>
      <c r="AG4" s="457"/>
    </row>
    <row r="5" spans="1:33" s="10" customFormat="1" ht="11.5" customHeight="1" x14ac:dyDescent="0.25">
      <c r="A5" s="469" t="s">
        <v>420</v>
      </c>
      <c r="B5" s="461">
        <v>1172.0326107600099</v>
      </c>
      <c r="C5" s="32"/>
      <c r="D5" s="458" t="s">
        <v>421</v>
      </c>
      <c r="E5" s="458">
        <v>2546.6410477600098</v>
      </c>
      <c r="F5" s="457"/>
      <c r="G5" s="557">
        <v>2025</v>
      </c>
      <c r="H5" s="124" t="s">
        <v>221</v>
      </c>
      <c r="I5" s="458">
        <v>0.72535400000000005</v>
      </c>
      <c r="J5" s="458">
        <v>3.2688942499999998</v>
      </c>
      <c r="L5" s="164" t="s">
        <v>30</v>
      </c>
      <c r="M5" s="151">
        <v>5.3807200000000003E-3</v>
      </c>
      <c r="N5" s="351">
        <f t="shared" si="0"/>
        <v>0.61951099490629769</v>
      </c>
      <c r="O5" s="454" t="s">
        <v>189</v>
      </c>
      <c r="P5" s="458">
        <v>0.64557449</v>
      </c>
      <c r="Q5" s="352">
        <f t="shared" si="1"/>
        <v>9.0224608769847787</v>
      </c>
      <c r="Y5" s="4"/>
      <c r="AA5" s="457"/>
      <c r="AB5" s="456"/>
      <c r="AF5" s="457"/>
      <c r="AG5" s="457"/>
    </row>
    <row r="6" spans="1:33" s="125" customFormat="1" ht="14.5" customHeight="1" x14ac:dyDescent="0.25">
      <c r="A6" s="468" t="s">
        <v>418</v>
      </c>
      <c r="B6" s="461">
        <v>623.76835076999998</v>
      </c>
      <c r="C6" s="118"/>
      <c r="D6" s="458" t="s">
        <v>417</v>
      </c>
      <c r="E6" s="458">
        <v>1614.2687746000099</v>
      </c>
      <c r="F6" s="126"/>
      <c r="G6" s="558"/>
      <c r="H6" s="124" t="s">
        <v>222</v>
      </c>
      <c r="I6" s="458">
        <v>1.22664934</v>
      </c>
      <c r="J6" s="458">
        <v>10.939596810000001</v>
      </c>
      <c r="L6" s="164" t="s">
        <v>29</v>
      </c>
      <c r="M6" s="151">
        <v>6.3030999999999992E-4</v>
      </c>
      <c r="N6" s="351">
        <f t="shared" si="0"/>
        <v>7.2570952437478339E-2</v>
      </c>
      <c r="O6" s="454" t="s">
        <v>103</v>
      </c>
      <c r="P6" s="458">
        <v>0.47121671999999998</v>
      </c>
      <c r="Q6" s="352">
        <f t="shared" si="1"/>
        <v>6.5856605033775288</v>
      </c>
      <c r="X6" s="10"/>
      <c r="Y6" s="4"/>
      <c r="AA6" s="457"/>
      <c r="AB6" s="456"/>
      <c r="AF6" s="457"/>
      <c r="AG6" s="457"/>
    </row>
    <row r="7" spans="1:33" ht="12.65" customHeight="1" x14ac:dyDescent="0.25">
      <c r="A7" s="164" t="s">
        <v>421</v>
      </c>
      <c r="B7" s="461">
        <v>579.54748987999994</v>
      </c>
      <c r="D7" s="458" t="s">
        <v>420</v>
      </c>
      <c r="E7" s="458">
        <v>823.59327758999893</v>
      </c>
      <c r="F7" s="4"/>
      <c r="G7" s="558"/>
      <c r="H7" s="124" t="s">
        <v>223</v>
      </c>
      <c r="I7" s="458">
        <v>1.0016998100000001</v>
      </c>
      <c r="J7" s="458">
        <v>8.359422809999991</v>
      </c>
      <c r="L7" s="164" t="s">
        <v>999</v>
      </c>
      <c r="M7" s="151">
        <v>1.139E-4</v>
      </c>
      <c r="N7" s="351">
        <f t="shared" si="0"/>
        <v>1.3113914554153963E-2</v>
      </c>
      <c r="O7" s="454" t="s">
        <v>125</v>
      </c>
      <c r="P7" s="458">
        <v>0.45605352000000005</v>
      </c>
      <c r="Q7" s="352">
        <f t="shared" si="1"/>
        <v>6.3737416917003591</v>
      </c>
      <c r="X7" s="10"/>
      <c r="Y7" s="4"/>
      <c r="AA7" s="457"/>
      <c r="AB7" s="456"/>
      <c r="AF7" s="457"/>
      <c r="AG7" s="457"/>
    </row>
    <row r="8" spans="1:33" ht="14.5" customHeight="1" x14ac:dyDescent="0.25">
      <c r="A8" s="164" t="s">
        <v>417</v>
      </c>
      <c r="B8" s="461">
        <v>507.66294061000002</v>
      </c>
      <c r="D8" s="458" t="s">
        <v>1018</v>
      </c>
      <c r="E8" s="347">
        <v>552.35941304000005</v>
      </c>
      <c r="F8" s="4"/>
      <c r="G8" s="558"/>
      <c r="H8" s="124" t="s">
        <v>224</v>
      </c>
      <c r="I8" s="458">
        <v>1.9781849499999999</v>
      </c>
      <c r="J8" s="458">
        <v>9.7259531500000005</v>
      </c>
      <c r="L8" s="164" t="s">
        <v>119</v>
      </c>
      <c r="M8" s="151">
        <v>1.217E-5</v>
      </c>
      <c r="N8" s="351">
        <f t="shared" si="0"/>
        <v>1.401197016014519E-3</v>
      </c>
      <c r="O8" s="454" t="s">
        <v>38</v>
      </c>
      <c r="P8" s="458">
        <v>0.39799200000000001</v>
      </c>
      <c r="Q8" s="352">
        <f t="shared" si="1"/>
        <v>5.5622818202635713</v>
      </c>
      <c r="X8" s="10"/>
      <c r="Y8" s="4"/>
      <c r="AA8" s="457"/>
      <c r="AB8" s="456"/>
      <c r="AF8" s="457"/>
      <c r="AG8" s="457"/>
    </row>
    <row r="9" spans="1:33" ht="12.65" customHeight="1" x14ac:dyDescent="0.25">
      <c r="A9" s="164" t="s">
        <v>419</v>
      </c>
      <c r="B9" s="461">
        <v>265.54292071000003</v>
      </c>
      <c r="D9" s="458" t="s">
        <v>415</v>
      </c>
      <c r="E9" s="458">
        <v>284.85587830000003</v>
      </c>
      <c r="F9" s="4"/>
      <c r="G9" s="558"/>
      <c r="H9" s="124" t="s">
        <v>225</v>
      </c>
      <c r="I9" s="458">
        <v>1.3106148</v>
      </c>
      <c r="J9" s="458">
        <v>8.5679510000000008</v>
      </c>
      <c r="L9" s="164"/>
      <c r="M9" s="151"/>
      <c r="N9" s="351"/>
      <c r="O9" s="454" t="s">
        <v>39</v>
      </c>
      <c r="P9" s="458">
        <v>0.37924799999999997</v>
      </c>
      <c r="Q9" s="352">
        <f t="shared" si="1"/>
        <v>5.3003182369779251</v>
      </c>
      <c r="X9" s="10"/>
      <c r="Y9" s="457"/>
      <c r="Z9" s="457"/>
      <c r="AA9" s="457"/>
      <c r="AB9" s="456"/>
      <c r="AF9" s="457"/>
      <c r="AG9" s="457"/>
    </row>
    <row r="10" spans="1:33" s="55" customFormat="1" ht="14.5" customHeight="1" x14ac:dyDescent="0.25">
      <c r="A10" s="353" t="s">
        <v>414</v>
      </c>
      <c r="B10" s="466">
        <v>80.734467849999902</v>
      </c>
      <c r="C10" s="31"/>
      <c r="D10" s="467" t="s">
        <v>418</v>
      </c>
      <c r="E10" s="467">
        <v>261.69795871999901</v>
      </c>
      <c r="F10" s="465"/>
      <c r="G10" s="558"/>
      <c r="H10" s="124" t="s">
        <v>226</v>
      </c>
      <c r="I10" s="458">
        <v>2.1745950000000001</v>
      </c>
      <c r="J10" s="458">
        <v>9.4376864900000008</v>
      </c>
      <c r="L10" s="353"/>
      <c r="M10" s="354"/>
      <c r="N10" s="351"/>
      <c r="O10" s="454" t="s">
        <v>116</v>
      </c>
      <c r="P10" s="458">
        <v>0.23791000000000001</v>
      </c>
      <c r="Q10" s="464">
        <f t="shared" si="1"/>
        <v>3.324997657889873</v>
      </c>
      <c r="X10" s="10"/>
      <c r="Y10" s="463"/>
      <c r="Z10" s="463"/>
      <c r="AA10" s="457"/>
      <c r="AB10" s="456"/>
      <c r="AF10" s="457"/>
      <c r="AG10" s="457"/>
    </row>
    <row r="11" spans="1:33" s="55" customFormat="1" ht="14.5" customHeight="1" x14ac:dyDescent="0.25">
      <c r="A11" s="353" t="s">
        <v>412</v>
      </c>
      <c r="B11" s="466">
        <v>39.852655770000098</v>
      </c>
      <c r="C11" s="31"/>
      <c r="D11" s="458" t="s">
        <v>416</v>
      </c>
      <c r="E11" s="458">
        <v>87.230689530000106</v>
      </c>
      <c r="F11" s="465"/>
      <c r="G11" s="558"/>
      <c r="H11" s="124" t="s">
        <v>227</v>
      </c>
      <c r="I11" s="458">
        <v>1.59078699</v>
      </c>
      <c r="J11" s="458">
        <v>8.132747160000001</v>
      </c>
      <c r="L11" s="353"/>
      <c r="M11" s="354"/>
      <c r="N11" s="351"/>
      <c r="O11" s="454" t="s">
        <v>1000</v>
      </c>
      <c r="P11" s="458">
        <v>0.23370751000000001</v>
      </c>
      <c r="Q11" s="464">
        <f t="shared" si="1"/>
        <v>3.2662642317736705</v>
      </c>
      <c r="X11" s="10"/>
      <c r="Y11" s="463"/>
      <c r="Z11" s="463"/>
      <c r="AA11" s="457"/>
      <c r="AB11" s="456"/>
      <c r="AF11" s="457"/>
      <c r="AG11" s="457"/>
    </row>
    <row r="12" spans="1:33" ht="12.65" customHeight="1" x14ac:dyDescent="0.25">
      <c r="A12" s="164" t="s">
        <v>416</v>
      </c>
      <c r="B12" s="461">
        <v>1.640253</v>
      </c>
      <c r="D12" s="458" t="s">
        <v>414</v>
      </c>
      <c r="E12" s="458">
        <v>46.734794820000097</v>
      </c>
      <c r="F12" s="4"/>
      <c r="G12" s="558"/>
      <c r="H12" s="124" t="s">
        <v>228</v>
      </c>
      <c r="I12" s="458">
        <v>0.92040135999999995</v>
      </c>
      <c r="J12" s="458">
        <v>9.3095784600000009</v>
      </c>
      <c r="L12" s="164"/>
      <c r="M12" s="151"/>
      <c r="N12" s="351"/>
      <c r="O12" s="454" t="s">
        <v>208</v>
      </c>
      <c r="P12" s="458">
        <v>0.22314979000000001</v>
      </c>
      <c r="Q12" s="352">
        <f t="shared" si="1"/>
        <v>3.1187109793981627</v>
      </c>
      <c r="X12" s="10"/>
      <c r="Y12" s="457"/>
      <c r="Z12" s="457"/>
      <c r="AA12" s="457"/>
      <c r="AB12" s="456"/>
      <c r="AF12" s="457"/>
      <c r="AG12" s="457"/>
    </row>
    <row r="13" spans="1:33" ht="12.65" customHeight="1" x14ac:dyDescent="0.25">
      <c r="A13" s="164" t="s">
        <v>1019</v>
      </c>
      <c r="B13" s="461">
        <v>1.2151454900000001</v>
      </c>
      <c r="D13" s="458" t="s">
        <v>413</v>
      </c>
      <c r="E13" s="458">
        <v>35.043295130000004</v>
      </c>
      <c r="F13" s="4"/>
      <c r="G13" s="558"/>
      <c r="H13" s="124" t="s">
        <v>941</v>
      </c>
      <c r="I13" s="458">
        <v>1.1273040000000001</v>
      </c>
      <c r="J13" s="458">
        <v>7.4845605099999997</v>
      </c>
      <c r="L13" s="164"/>
      <c r="M13" s="151"/>
      <c r="N13" s="351"/>
      <c r="O13" s="454" t="s">
        <v>999</v>
      </c>
      <c r="P13" s="458">
        <v>0.15791921</v>
      </c>
      <c r="Q13" s="352">
        <f t="shared" si="1"/>
        <v>2.2070573048035764</v>
      </c>
      <c r="X13" s="10"/>
      <c r="Y13" s="457"/>
      <c r="Z13" s="457"/>
      <c r="AA13" s="457"/>
      <c r="AB13" s="456"/>
      <c r="AF13" s="457"/>
      <c r="AG13" s="457"/>
    </row>
    <row r="14" spans="1:33" ht="14.5" customHeight="1" x14ac:dyDescent="0.25">
      <c r="A14" s="164" t="s">
        <v>411</v>
      </c>
      <c r="B14" s="461">
        <v>0.86854310000000001</v>
      </c>
      <c r="D14" s="458" t="s">
        <v>412</v>
      </c>
      <c r="E14" s="458">
        <v>26.02287853</v>
      </c>
      <c r="F14" s="4"/>
      <c r="G14" s="558"/>
      <c r="H14" s="124" t="s">
        <v>230</v>
      </c>
      <c r="I14" s="458">
        <v>0.99685505000000008</v>
      </c>
      <c r="J14" s="458">
        <v>5.9182788899999901</v>
      </c>
      <c r="L14" s="164"/>
      <c r="M14" s="151"/>
      <c r="N14" s="351"/>
      <c r="O14" s="454" t="s">
        <v>358</v>
      </c>
      <c r="P14" s="458">
        <v>0.14137248000000002</v>
      </c>
      <c r="Q14" s="352">
        <f t="shared" si="1"/>
        <v>1.9758024668575636</v>
      </c>
      <c r="X14" s="10"/>
      <c r="Y14" s="457"/>
      <c r="Z14" s="457"/>
      <c r="AA14" s="457"/>
      <c r="AB14" s="456"/>
      <c r="AF14" s="457"/>
      <c r="AG14" s="457"/>
    </row>
    <row r="15" spans="1:33" ht="12.5" customHeight="1" x14ac:dyDescent="0.25">
      <c r="A15" s="164" t="s">
        <v>450</v>
      </c>
      <c r="B15" s="461">
        <v>0.47599999999999998</v>
      </c>
      <c r="D15" s="458" t="s">
        <v>411</v>
      </c>
      <c r="E15" s="458">
        <v>7.1551930099999907</v>
      </c>
      <c r="F15" s="4"/>
      <c r="G15" s="559"/>
      <c r="H15" s="124" t="s">
        <v>231</v>
      </c>
      <c r="I15" s="462">
        <v>0.86854310000000001</v>
      </c>
      <c r="J15" s="462">
        <v>7.1551930099999801</v>
      </c>
      <c r="L15" s="164"/>
      <c r="M15" s="151"/>
      <c r="N15" s="351"/>
      <c r="O15" s="454" t="s">
        <v>998</v>
      </c>
      <c r="P15" s="458">
        <v>0.14031292000000001</v>
      </c>
      <c r="Q15" s="352">
        <f t="shared" si="1"/>
        <v>1.9609942010495107</v>
      </c>
      <c r="X15" s="10"/>
      <c r="Y15" s="457"/>
      <c r="Z15" s="457"/>
      <c r="AA15" s="457"/>
      <c r="AB15" s="456"/>
      <c r="AF15" s="457"/>
      <c r="AG15" s="457"/>
    </row>
    <row r="16" spans="1:33" ht="12.5" customHeight="1" x14ac:dyDescent="0.25">
      <c r="A16" s="164" t="s">
        <v>413</v>
      </c>
      <c r="B16" s="461">
        <v>0.37312582</v>
      </c>
      <c r="D16" s="458" t="s">
        <v>410</v>
      </c>
      <c r="E16" s="458">
        <v>1.95704228</v>
      </c>
      <c r="F16" s="4"/>
      <c r="G16" s="123"/>
      <c r="I16" s="123"/>
      <c r="L16" s="164"/>
      <c r="M16" s="151"/>
      <c r="N16" s="351"/>
      <c r="O16" s="454" t="s">
        <v>997</v>
      </c>
      <c r="P16" s="458">
        <v>0.13960639999999999</v>
      </c>
      <c r="Q16" s="352">
        <f t="shared" si="1"/>
        <v>1.9511199740508456</v>
      </c>
      <c r="X16" s="10"/>
      <c r="Y16" s="457"/>
      <c r="Z16" s="457"/>
      <c r="AA16" s="457"/>
      <c r="AB16" s="456"/>
    </row>
    <row r="17" spans="1:28" ht="12.5" customHeight="1" x14ac:dyDescent="0.25">
      <c r="A17" s="164" t="s">
        <v>407</v>
      </c>
      <c r="B17" s="461">
        <v>0.185304</v>
      </c>
      <c r="D17" s="458" t="s">
        <v>409</v>
      </c>
      <c r="E17" s="458">
        <v>1.75955879</v>
      </c>
      <c r="F17" s="4"/>
      <c r="G17" s="186"/>
      <c r="H17" s="122"/>
      <c r="I17" s="186"/>
      <c r="J17" s="350"/>
      <c r="L17" s="164"/>
      <c r="M17" s="151"/>
      <c r="N17" s="351"/>
      <c r="O17" s="454" t="s">
        <v>113</v>
      </c>
      <c r="P17" s="458">
        <v>9.1921329999999996E-2</v>
      </c>
      <c r="Q17" s="352">
        <f t="shared" si="1"/>
        <v>1.2846799502337944</v>
      </c>
      <c r="X17" s="10"/>
      <c r="Y17" s="457"/>
      <c r="Z17" s="457"/>
      <c r="AA17" s="457"/>
      <c r="AB17" s="456"/>
    </row>
    <row r="18" spans="1:28" ht="12.65" customHeight="1" x14ac:dyDescent="0.25">
      <c r="A18" s="164" t="s">
        <v>1020</v>
      </c>
      <c r="B18" s="461">
        <v>4.3478260000000005E-2</v>
      </c>
      <c r="D18" s="458" t="s">
        <v>1019</v>
      </c>
      <c r="E18" s="458">
        <v>0.29268705</v>
      </c>
      <c r="F18" s="4"/>
      <c r="G18" s="186"/>
      <c r="H18" s="122"/>
      <c r="I18" s="4"/>
      <c r="K18" s="186"/>
      <c r="L18" s="164"/>
      <c r="M18" s="151"/>
      <c r="N18" s="351"/>
      <c r="O18" s="454" t="s">
        <v>996</v>
      </c>
      <c r="P18" s="458">
        <v>7.6295059999999998E-2</v>
      </c>
      <c r="Q18" s="352">
        <f t="shared" si="1"/>
        <v>1.0662893354990008</v>
      </c>
      <c r="X18" s="10"/>
      <c r="Y18" s="457"/>
      <c r="Z18" s="457"/>
      <c r="AA18" s="457"/>
      <c r="AB18" s="456"/>
    </row>
    <row r="19" spans="1:28" ht="12.5" customHeight="1" x14ac:dyDescent="0.25">
      <c r="A19" s="164" t="s">
        <v>409</v>
      </c>
      <c r="B19" s="461">
        <v>8.8695000000000006E-4</v>
      </c>
      <c r="D19" s="458" t="s">
        <v>995</v>
      </c>
      <c r="E19" s="458">
        <v>8.0720479999999997E-2</v>
      </c>
      <c r="F19" s="4"/>
      <c r="I19" s="4"/>
      <c r="K19" s="186"/>
      <c r="L19" s="164"/>
      <c r="M19" s="151"/>
      <c r="N19" s="351"/>
      <c r="O19" s="454" t="s">
        <v>29</v>
      </c>
      <c r="P19" s="458">
        <v>7.6282229999999993E-2</v>
      </c>
      <c r="Q19" s="352">
        <f t="shared" si="1"/>
        <v>1.0661100251717732</v>
      </c>
      <c r="X19" s="10"/>
      <c r="Y19" s="457"/>
      <c r="Z19" s="457"/>
      <c r="AA19" s="457"/>
      <c r="AB19" s="456"/>
    </row>
    <row r="20" spans="1:28" ht="11.5" customHeight="1" x14ac:dyDescent="0.25">
      <c r="A20" s="164" t="s">
        <v>217</v>
      </c>
      <c r="B20" s="460">
        <f>SUBTOTAL(109,Table476865[Column2])</f>
        <v>9968.3558629300114</v>
      </c>
      <c r="D20" s="458" t="s">
        <v>408</v>
      </c>
      <c r="E20" s="458">
        <v>4.4709940000000004E-2</v>
      </c>
      <c r="F20" s="4"/>
      <c r="I20" s="4"/>
      <c r="L20" s="164"/>
      <c r="M20" s="151"/>
      <c r="N20" s="351"/>
      <c r="O20" s="454" t="s">
        <v>214</v>
      </c>
      <c r="P20" s="458">
        <v>7.1683820000000009E-2</v>
      </c>
      <c r="Q20" s="352">
        <f t="shared" si="1"/>
        <v>1.0018432752242412</v>
      </c>
      <c r="X20" s="10"/>
      <c r="Y20" s="457"/>
      <c r="Z20" s="457"/>
      <c r="AA20" s="457"/>
      <c r="AB20" s="456"/>
    </row>
    <row r="21" spans="1:28" ht="12.5" customHeight="1" x14ac:dyDescent="0.3">
      <c r="D21" s="458" t="s">
        <v>994</v>
      </c>
      <c r="E21" s="458">
        <v>1.10346E-2</v>
      </c>
      <c r="G21" s="140"/>
      <c r="H21" s="3"/>
      <c r="I21" s="4"/>
      <c r="K21" s="3"/>
      <c r="L21" s="164"/>
      <c r="M21" s="151"/>
      <c r="N21" s="351"/>
      <c r="O21" s="454" t="s">
        <v>993</v>
      </c>
      <c r="P21" s="458">
        <v>6.2595910000000005E-2</v>
      </c>
      <c r="Q21" s="352">
        <f t="shared" si="1"/>
        <v>0.87483188661042111</v>
      </c>
      <c r="R21" s="3"/>
      <c r="S21" s="3"/>
      <c r="T21" s="3"/>
      <c r="X21" s="10"/>
      <c r="Y21" s="457"/>
      <c r="Z21" s="457"/>
      <c r="AA21" s="457"/>
      <c r="AB21" s="456"/>
    </row>
    <row r="22" spans="1:28" s="10" customFormat="1" ht="12.5" customHeight="1" x14ac:dyDescent="0.25">
      <c r="A22" s="32"/>
      <c r="B22" s="32"/>
      <c r="C22" s="121"/>
      <c r="D22" s="458" t="s">
        <v>940</v>
      </c>
      <c r="E22" s="458">
        <v>9.1500000000000001E-3</v>
      </c>
      <c r="G22" s="186"/>
      <c r="H22" s="4"/>
      <c r="I22" s="4"/>
      <c r="J22" s="347"/>
      <c r="K22" s="120"/>
      <c r="L22" s="164"/>
      <c r="M22" s="151"/>
      <c r="N22" s="351"/>
      <c r="O22" s="454" t="s">
        <v>992</v>
      </c>
      <c r="P22" s="458">
        <v>6.1924140000000003E-2</v>
      </c>
      <c r="Q22" s="352">
        <f t="shared" si="1"/>
        <v>0.86544332086437958</v>
      </c>
      <c r="R22" s="120"/>
      <c r="S22" s="120"/>
      <c r="T22" s="120"/>
      <c r="U22" s="120"/>
      <c r="Y22" s="457"/>
      <c r="Z22" s="457"/>
      <c r="AA22" s="457"/>
      <c r="AB22" s="456"/>
    </row>
    <row r="23" spans="1:28" ht="11.5" customHeight="1" x14ac:dyDescent="0.25">
      <c r="D23" s="458" t="s">
        <v>407</v>
      </c>
      <c r="E23" s="458">
        <v>4.4797100000000005E-3</v>
      </c>
      <c r="H23" s="119"/>
      <c r="I23" s="4"/>
      <c r="K23" s="119"/>
      <c r="L23" s="164"/>
      <c r="M23" s="151"/>
      <c r="N23" s="351"/>
      <c r="O23" s="454" t="s">
        <v>991</v>
      </c>
      <c r="P23" s="458">
        <v>5.9148529999999998E-2</v>
      </c>
      <c r="Q23" s="352">
        <f t="shared" si="1"/>
        <v>0.82665177469475359</v>
      </c>
      <c r="R23" s="119"/>
      <c r="S23" s="119"/>
      <c r="T23" s="119"/>
      <c r="U23" s="119"/>
      <c r="X23" s="10"/>
      <c r="Y23" s="457"/>
      <c r="Z23" s="457"/>
      <c r="AA23" s="457"/>
      <c r="AB23" s="456"/>
    </row>
    <row r="24" spans="1:28" ht="13" x14ac:dyDescent="0.3">
      <c r="D24" s="37" t="s">
        <v>217</v>
      </c>
      <c r="E24" s="459">
        <f>SUBTOTAL(109,Table76764[Column2])</f>
        <v>14412.24819637003</v>
      </c>
      <c r="H24" s="119"/>
      <c r="K24" s="119"/>
      <c r="L24" s="164"/>
      <c r="M24" s="151"/>
      <c r="N24" s="351"/>
      <c r="O24" s="454" t="s">
        <v>990</v>
      </c>
      <c r="P24" s="458">
        <v>5.2987059999999996E-2</v>
      </c>
      <c r="Q24" s="352">
        <f t="shared" si="1"/>
        <v>0.74053991172489653</v>
      </c>
      <c r="R24" s="119"/>
      <c r="S24" s="119"/>
      <c r="T24" s="119"/>
      <c r="U24" s="119"/>
      <c r="X24" s="10"/>
      <c r="AA24" s="457"/>
      <c r="AB24" s="456"/>
    </row>
    <row r="25" spans="1:28" x14ac:dyDescent="0.25">
      <c r="A25" s="39"/>
      <c r="B25" s="39"/>
      <c r="C25" s="4"/>
      <c r="D25" s="4"/>
      <c r="E25" s="4"/>
      <c r="H25" s="119"/>
      <c r="K25" s="119"/>
      <c r="L25" s="164"/>
      <c r="M25" s="151"/>
      <c r="N25" s="351"/>
      <c r="O25" s="454" t="s">
        <v>83</v>
      </c>
      <c r="P25" s="458">
        <v>5.2954569999999999E-2</v>
      </c>
      <c r="Q25" s="352">
        <f t="shared" si="1"/>
        <v>0.74008583592352273</v>
      </c>
      <c r="R25" s="119"/>
      <c r="S25" s="119"/>
      <c r="T25" s="119"/>
      <c r="U25" s="119"/>
      <c r="X25" s="10"/>
      <c r="AA25" s="457"/>
      <c r="AB25" s="456"/>
    </row>
    <row r="26" spans="1:28" ht="11" customHeight="1" x14ac:dyDescent="0.25">
      <c r="C26" s="4"/>
      <c r="D26" s="4"/>
      <c r="E26" s="4"/>
      <c r="H26" s="119"/>
      <c r="K26" s="119"/>
      <c r="L26" s="164"/>
      <c r="M26" s="151"/>
      <c r="N26" s="351"/>
      <c r="O26" s="454" t="s">
        <v>137</v>
      </c>
      <c r="P26" s="458">
        <v>4.336885E-2</v>
      </c>
      <c r="Q26" s="352">
        <f t="shared" si="1"/>
        <v>0.60611712275809004</v>
      </c>
      <c r="R26" s="119"/>
      <c r="S26" s="119"/>
      <c r="T26" s="119"/>
      <c r="U26" s="119"/>
      <c r="X26" s="10"/>
      <c r="AA26" s="457"/>
      <c r="AB26" s="456"/>
    </row>
    <row r="27" spans="1:28" x14ac:dyDescent="0.25">
      <c r="A27" s="1"/>
      <c r="B27" s="18"/>
      <c r="C27" s="4"/>
      <c r="D27" s="4"/>
      <c r="E27" s="4"/>
      <c r="F27" s="18"/>
      <c r="L27" s="164"/>
      <c r="M27" s="151"/>
      <c r="N27" s="351"/>
      <c r="O27" s="454" t="s">
        <v>105</v>
      </c>
      <c r="P27" s="458">
        <v>4.3145860000000001E-2</v>
      </c>
      <c r="Q27" s="352">
        <f t="shared" si="1"/>
        <v>0.6030006449819022</v>
      </c>
      <c r="X27" s="10"/>
      <c r="AA27" s="457"/>
      <c r="AB27" s="456"/>
    </row>
    <row r="28" spans="1:28" x14ac:dyDescent="0.25">
      <c r="A28" s="1"/>
      <c r="B28" s="129"/>
      <c r="C28" s="129"/>
      <c r="D28" s="129"/>
      <c r="E28" s="1"/>
      <c r="F28" s="129"/>
      <c r="J28" s="451"/>
      <c r="L28" s="164"/>
      <c r="M28" s="454"/>
      <c r="N28" s="455"/>
      <c r="O28" s="454" t="s">
        <v>106</v>
      </c>
      <c r="P28" s="151">
        <v>4.0355300000000004E-2</v>
      </c>
      <c r="Q28" s="453">
        <f t="shared" si="1"/>
        <v>0.56400015965467276</v>
      </c>
      <c r="AA28" s="450"/>
      <c r="AB28" s="13"/>
    </row>
    <row r="29" spans="1:28" x14ac:dyDescent="0.25">
      <c r="D29" s="129"/>
      <c r="E29" s="1"/>
      <c r="J29" s="451"/>
      <c r="L29" s="164"/>
      <c r="M29" s="454"/>
      <c r="N29" s="455"/>
      <c r="O29" s="454" t="s">
        <v>989</v>
      </c>
      <c r="P29" s="151">
        <v>3.7141E-2</v>
      </c>
      <c r="Q29" s="453">
        <f t="shared" si="1"/>
        <v>0.51907754197674649</v>
      </c>
      <c r="AA29" s="450"/>
      <c r="AB29" s="13"/>
    </row>
    <row r="30" spans="1:28" x14ac:dyDescent="0.25">
      <c r="B30" s="1"/>
      <c r="D30" s="129"/>
      <c r="E30" s="1"/>
      <c r="J30" s="451"/>
      <c r="L30" s="164"/>
      <c r="M30" s="454"/>
      <c r="N30" s="455"/>
      <c r="O30" s="454" t="s">
        <v>988</v>
      </c>
      <c r="P30" s="151">
        <v>3.2780339999999998E-2</v>
      </c>
      <c r="Q30" s="453">
        <f t="shared" si="1"/>
        <v>0.45813355354896262</v>
      </c>
      <c r="AA30" s="450"/>
      <c r="AB30" s="13"/>
    </row>
    <row r="31" spans="1:28" x14ac:dyDescent="0.25">
      <c r="B31" s="1"/>
      <c r="D31" s="129"/>
      <c r="E31" s="1"/>
      <c r="J31" s="451"/>
      <c r="L31" s="164"/>
      <c r="M31" s="454"/>
      <c r="N31" s="455"/>
      <c r="O31" s="454" t="s">
        <v>987</v>
      </c>
      <c r="P31" s="151">
        <v>3.0513749999999999E-2</v>
      </c>
      <c r="Q31" s="453">
        <f t="shared" si="1"/>
        <v>0.42645600135949346</v>
      </c>
      <c r="AA31" s="450"/>
      <c r="AB31" s="13"/>
    </row>
    <row r="32" spans="1:28" x14ac:dyDescent="0.25">
      <c r="A32" s="1"/>
      <c r="B32" s="1"/>
      <c r="D32" s="1"/>
      <c r="E32" s="1"/>
      <c r="J32" s="451"/>
      <c r="L32" s="164"/>
      <c r="M32" s="454"/>
      <c r="N32" s="455"/>
      <c r="O32" s="454" t="s">
        <v>92</v>
      </c>
      <c r="P32" s="151">
        <v>3.0383159999999999E-2</v>
      </c>
      <c r="Q32" s="453">
        <f t="shared" si="1"/>
        <v>0.42463089336006576</v>
      </c>
      <c r="AA32" s="450"/>
      <c r="AB32" s="13"/>
    </row>
    <row r="33" spans="1:28" x14ac:dyDescent="0.25">
      <c r="A33" s="1"/>
      <c r="B33" s="1"/>
      <c r="D33" s="1"/>
      <c r="E33" s="1"/>
      <c r="J33" s="451"/>
      <c r="L33" s="164"/>
      <c r="M33" s="454"/>
      <c r="N33" s="455"/>
      <c r="O33" s="454" t="s">
        <v>90</v>
      </c>
      <c r="P33" s="151">
        <v>2.9899999999999999E-2</v>
      </c>
      <c r="Q33" s="453">
        <f t="shared" si="1"/>
        <v>0.41787831520704127</v>
      </c>
      <c r="AA33" s="450"/>
      <c r="AB33" s="13"/>
    </row>
    <row r="34" spans="1:28" x14ac:dyDescent="0.25">
      <c r="A34" s="1"/>
      <c r="B34" s="1"/>
      <c r="D34" s="1"/>
      <c r="E34" s="1"/>
      <c r="J34" s="451"/>
      <c r="L34" s="164"/>
      <c r="M34" s="454"/>
      <c r="N34" s="455"/>
      <c r="O34" s="454" t="s">
        <v>199</v>
      </c>
      <c r="P34" s="151">
        <v>2.6000099999999998E-2</v>
      </c>
      <c r="Q34" s="453">
        <f t="shared" si="1"/>
        <v>0.36337384559246128</v>
      </c>
      <c r="AA34" s="450"/>
      <c r="AB34" s="13"/>
    </row>
    <row r="35" spans="1:28" x14ac:dyDescent="0.25">
      <c r="A35" s="1"/>
      <c r="B35" s="1"/>
      <c r="D35" s="1"/>
      <c r="E35" s="1"/>
      <c r="J35" s="451"/>
      <c r="L35" s="164"/>
      <c r="M35" s="454"/>
      <c r="N35" s="455"/>
      <c r="O35" s="454" t="s">
        <v>168</v>
      </c>
      <c r="P35" s="151">
        <v>2.3400090000000002E-2</v>
      </c>
      <c r="Q35" s="453">
        <f t="shared" ref="Q35:Q66" si="2">(P35/$P$83)*100</f>
        <v>0.32703646103321521</v>
      </c>
      <c r="AA35" s="450"/>
      <c r="AB35" s="13"/>
    </row>
    <row r="36" spans="1:28" x14ac:dyDescent="0.25">
      <c r="B36" s="1"/>
      <c r="D36" s="1"/>
      <c r="E36" s="1"/>
      <c r="J36" s="451"/>
      <c r="L36" s="164"/>
      <c r="M36" s="454"/>
      <c r="N36" s="455"/>
      <c r="O36" s="454" t="s">
        <v>165</v>
      </c>
      <c r="P36" s="151">
        <v>1.9879819999999999E-2</v>
      </c>
      <c r="Q36" s="453">
        <f t="shared" si="2"/>
        <v>0.27783764843542619</v>
      </c>
      <c r="AA36" s="450"/>
      <c r="AB36" s="13"/>
    </row>
    <row r="37" spans="1:28" x14ac:dyDescent="0.25">
      <c r="B37" s="1"/>
      <c r="D37" s="1"/>
      <c r="E37" s="1"/>
      <c r="J37" s="451"/>
      <c r="L37" s="164"/>
      <c r="M37" s="454"/>
      <c r="N37" s="455"/>
      <c r="O37" s="454" t="s">
        <v>986</v>
      </c>
      <c r="P37" s="151">
        <v>1.528231E-2</v>
      </c>
      <c r="Q37" s="453">
        <f t="shared" si="2"/>
        <v>0.21358347676494041</v>
      </c>
      <c r="AA37" s="450"/>
      <c r="AB37" s="13"/>
    </row>
    <row r="38" spans="1:28" x14ac:dyDescent="0.25">
      <c r="B38" s="1"/>
      <c r="D38" s="1"/>
      <c r="E38" s="1"/>
      <c r="J38" s="451"/>
      <c r="L38" s="164"/>
      <c r="M38" s="454"/>
      <c r="N38" s="455"/>
      <c r="O38" s="454" t="s">
        <v>202</v>
      </c>
      <c r="P38" s="151">
        <v>1.5272330000000001E-2</v>
      </c>
      <c r="Q38" s="453">
        <f t="shared" si="2"/>
        <v>0.21344399764835964</v>
      </c>
      <c r="AA38" s="450"/>
      <c r="AB38" s="13"/>
    </row>
    <row r="39" spans="1:28" x14ac:dyDescent="0.25">
      <c r="B39" s="1"/>
      <c r="D39" s="1"/>
      <c r="E39" s="1"/>
      <c r="J39" s="451"/>
      <c r="L39" s="164"/>
      <c r="M39" s="454"/>
      <c r="N39" s="455"/>
      <c r="O39" s="454" t="s">
        <v>84</v>
      </c>
      <c r="P39" s="151">
        <v>1.4520979999999999E-2</v>
      </c>
      <c r="Q39" s="453">
        <f t="shared" si="2"/>
        <v>0.20294323269415188</v>
      </c>
      <c r="AA39" s="450"/>
      <c r="AB39" s="13"/>
    </row>
    <row r="40" spans="1:28" x14ac:dyDescent="0.25">
      <c r="B40" s="1"/>
      <c r="D40" s="1"/>
      <c r="E40" s="1"/>
      <c r="J40" s="451"/>
      <c r="L40" s="164"/>
      <c r="M40" s="454"/>
      <c r="N40" s="455"/>
      <c r="O40" s="454" t="s">
        <v>210</v>
      </c>
      <c r="P40" s="151">
        <v>1.4188559999999999E-2</v>
      </c>
      <c r="Q40" s="453">
        <f t="shared" si="2"/>
        <v>0.19829737618775978</v>
      </c>
      <c r="AA40" s="450"/>
      <c r="AB40" s="13"/>
    </row>
    <row r="41" spans="1:28" x14ac:dyDescent="0.25">
      <c r="B41" s="1"/>
      <c r="D41" s="1"/>
      <c r="E41" s="1"/>
      <c r="J41" s="451"/>
      <c r="L41" s="164"/>
      <c r="M41" s="454"/>
      <c r="N41" s="455"/>
      <c r="O41" s="454" t="s">
        <v>178</v>
      </c>
      <c r="P41" s="151">
        <v>1.3950049999999999E-2</v>
      </c>
      <c r="Q41" s="453">
        <f t="shared" si="2"/>
        <v>0.19496399301183895</v>
      </c>
      <c r="AA41" s="450"/>
      <c r="AB41" s="13"/>
    </row>
    <row r="42" spans="1:28" x14ac:dyDescent="0.25">
      <c r="B42" s="1"/>
      <c r="D42" s="1"/>
      <c r="E42" s="1"/>
      <c r="J42" s="451"/>
      <c r="L42" s="164"/>
      <c r="M42" s="454"/>
      <c r="N42" s="455"/>
      <c r="O42" s="454" t="s">
        <v>985</v>
      </c>
      <c r="P42" s="151">
        <v>1.1382209999999999E-2</v>
      </c>
      <c r="Q42" s="453">
        <f t="shared" si="2"/>
        <v>0.15907621197768348</v>
      </c>
      <c r="AA42" s="450"/>
      <c r="AB42" s="13"/>
    </row>
    <row r="43" spans="1:28" x14ac:dyDescent="0.25">
      <c r="J43" s="451"/>
      <c r="L43" s="164"/>
      <c r="M43" s="454"/>
      <c r="N43" s="455"/>
      <c r="O43" s="454" t="s">
        <v>984</v>
      </c>
      <c r="P43" s="151">
        <v>1.1380860000000001E-2</v>
      </c>
      <c r="Q43" s="453">
        <f t="shared" si="2"/>
        <v>0.15905734456211398</v>
      </c>
      <c r="AA43" s="450"/>
      <c r="AB43" s="13"/>
    </row>
    <row r="44" spans="1:28" x14ac:dyDescent="0.25">
      <c r="J44" s="451"/>
      <c r="L44" s="164"/>
      <c r="M44" s="454"/>
      <c r="N44" s="455"/>
      <c r="O44" s="454" t="s">
        <v>983</v>
      </c>
      <c r="P44" s="151">
        <v>1.1234940000000001E-2</v>
      </c>
      <c r="Q44" s="453">
        <f t="shared" si="2"/>
        <v>0.15701798657699653</v>
      </c>
      <c r="AA44" s="450"/>
      <c r="AB44" s="13"/>
    </row>
    <row r="45" spans="1:28" x14ac:dyDescent="0.25">
      <c r="J45" s="451"/>
      <c r="L45" s="164"/>
      <c r="M45" s="454"/>
      <c r="N45" s="455"/>
      <c r="O45" s="454" t="s">
        <v>159</v>
      </c>
      <c r="P45" s="151">
        <v>9.8593099999999996E-3</v>
      </c>
      <c r="Q45" s="453">
        <f t="shared" si="2"/>
        <v>0.1377923696288941</v>
      </c>
      <c r="AA45" s="450"/>
      <c r="AB45" s="13"/>
    </row>
    <row r="46" spans="1:28" x14ac:dyDescent="0.25">
      <c r="J46" s="451"/>
      <c r="L46" s="164"/>
      <c r="M46" s="454"/>
      <c r="N46" s="455"/>
      <c r="O46" s="454" t="s">
        <v>198</v>
      </c>
      <c r="P46" s="151">
        <v>9.0002299999999997E-3</v>
      </c>
      <c r="Q46" s="453">
        <f t="shared" si="2"/>
        <v>0.12578598491223641</v>
      </c>
      <c r="AA46" s="450"/>
      <c r="AB46" s="13"/>
    </row>
    <row r="47" spans="1:28" x14ac:dyDescent="0.25">
      <c r="J47" s="451"/>
      <c r="L47" s="164"/>
      <c r="M47" s="454"/>
      <c r="N47" s="455"/>
      <c r="O47" s="454" t="s">
        <v>136</v>
      </c>
      <c r="P47" s="151">
        <v>7.8840000000000004E-3</v>
      </c>
      <c r="Q47" s="453">
        <f t="shared" si="2"/>
        <v>0.11018570692616432</v>
      </c>
      <c r="AA47" s="450"/>
      <c r="AB47" s="13"/>
    </row>
    <row r="48" spans="1:28" x14ac:dyDescent="0.25">
      <c r="J48" s="451"/>
      <c r="L48" s="164"/>
      <c r="M48" s="454"/>
      <c r="N48" s="455"/>
      <c r="O48" s="454" t="s">
        <v>140</v>
      </c>
      <c r="P48" s="151">
        <v>7.66835E-3</v>
      </c>
      <c r="Q48" s="453">
        <f t="shared" si="2"/>
        <v>0.10717181198722124</v>
      </c>
      <c r="AA48" s="450"/>
      <c r="AB48" s="13"/>
    </row>
    <row r="49" spans="10:28" x14ac:dyDescent="0.25">
      <c r="J49" s="451"/>
      <c r="L49" s="164"/>
      <c r="M49" s="454"/>
      <c r="N49" s="455"/>
      <c r="O49" s="454" t="s">
        <v>213</v>
      </c>
      <c r="P49" s="151">
        <v>7.1000299999999994E-3</v>
      </c>
      <c r="Q49" s="453">
        <f t="shared" si="2"/>
        <v>9.9229049308342768E-2</v>
      </c>
      <c r="AA49" s="450"/>
      <c r="AB49" s="13"/>
    </row>
    <row r="50" spans="10:28" x14ac:dyDescent="0.25">
      <c r="J50" s="451"/>
      <c r="L50" s="164"/>
      <c r="M50" s="454"/>
      <c r="N50" s="455"/>
      <c r="O50" s="454" t="s">
        <v>135</v>
      </c>
      <c r="P50" s="151">
        <v>7.00003E-3</v>
      </c>
      <c r="Q50" s="453">
        <f t="shared" si="2"/>
        <v>9.7831462969857702E-2</v>
      </c>
      <c r="AA50" s="450"/>
      <c r="AB50" s="13"/>
    </row>
    <row r="51" spans="10:28" x14ac:dyDescent="0.25">
      <c r="J51" s="451"/>
      <c r="L51" s="164"/>
      <c r="M51" s="454"/>
      <c r="N51" s="455"/>
      <c r="O51" s="454" t="s">
        <v>194</v>
      </c>
      <c r="P51" s="151">
        <v>6.3826499999999993E-3</v>
      </c>
      <c r="Q51" s="453">
        <f t="shared" si="2"/>
        <v>8.9203044433318446E-2</v>
      </c>
      <c r="AA51" s="450"/>
      <c r="AB51" s="13"/>
    </row>
    <row r="52" spans="10:28" x14ac:dyDescent="0.25">
      <c r="J52" s="451"/>
      <c r="L52" s="164"/>
      <c r="M52" s="454"/>
      <c r="N52" s="455"/>
      <c r="O52" s="454" t="s">
        <v>114</v>
      </c>
      <c r="P52" s="151">
        <v>5.5000200000000004E-3</v>
      </c>
      <c r="Q52" s="453">
        <f t="shared" si="2"/>
        <v>7.6867528133947524E-2</v>
      </c>
      <c r="AA52" s="450"/>
      <c r="AB52" s="13"/>
    </row>
    <row r="53" spans="10:28" x14ac:dyDescent="0.25">
      <c r="J53" s="451"/>
      <c r="L53" s="164"/>
      <c r="M53" s="454"/>
      <c r="N53" s="455"/>
      <c r="O53" s="454" t="s">
        <v>66</v>
      </c>
      <c r="P53" s="151">
        <v>5.1200000000000004E-3</v>
      </c>
      <c r="Q53" s="453">
        <f t="shared" si="2"/>
        <v>7.1556420530436496E-2</v>
      </c>
      <c r="AA53" s="450"/>
      <c r="AB53" s="13"/>
    </row>
    <row r="54" spans="10:28" x14ac:dyDescent="0.25">
      <c r="J54" s="451"/>
      <c r="L54" s="164"/>
      <c r="M54" s="454"/>
      <c r="N54" s="455"/>
      <c r="O54" s="454" t="s">
        <v>158</v>
      </c>
      <c r="P54" s="151">
        <v>4.8201099999999998E-3</v>
      </c>
      <c r="Q54" s="453">
        <f t="shared" si="2"/>
        <v>6.7365198859953568E-2</v>
      </c>
      <c r="AA54" s="450"/>
      <c r="AB54" s="13"/>
    </row>
    <row r="55" spans="10:28" x14ac:dyDescent="0.25">
      <c r="J55" s="451"/>
      <c r="L55" s="164"/>
      <c r="M55" s="454"/>
      <c r="N55" s="455"/>
      <c r="O55" s="454" t="s">
        <v>176</v>
      </c>
      <c r="P55" s="151">
        <v>4.67242E-3</v>
      </c>
      <c r="Q55" s="453">
        <f t="shared" si="2"/>
        <v>6.5301103596644941E-2</v>
      </c>
      <c r="AA55" s="450"/>
      <c r="AB55" s="13"/>
    </row>
    <row r="56" spans="10:28" x14ac:dyDescent="0.25">
      <c r="J56" s="451"/>
      <c r="L56" s="164"/>
      <c r="M56" s="454"/>
      <c r="N56" s="455"/>
      <c r="O56" s="454" t="s">
        <v>171</v>
      </c>
      <c r="P56" s="151">
        <v>4.1000200000000002E-3</v>
      </c>
      <c r="Q56" s="453">
        <f t="shared" si="2"/>
        <v>5.73013193951563E-2</v>
      </c>
      <c r="AA56" s="450"/>
      <c r="AB56" s="13"/>
    </row>
    <row r="57" spans="10:28" x14ac:dyDescent="0.25">
      <c r="J57" s="451"/>
      <c r="L57" s="164"/>
      <c r="M57" s="454"/>
      <c r="N57" s="455"/>
      <c r="O57" s="454" t="s">
        <v>982</v>
      </c>
      <c r="P57" s="151">
        <v>4.0850000000000001E-3</v>
      </c>
      <c r="Q57" s="453">
        <f t="shared" si="2"/>
        <v>5.7091401927115842E-2</v>
      </c>
      <c r="AA57" s="450"/>
      <c r="AB57" s="13"/>
    </row>
    <row r="58" spans="10:28" x14ac:dyDescent="0.25">
      <c r="J58" s="451"/>
      <c r="L58" s="164"/>
      <c r="M58" s="454"/>
      <c r="N58" s="455"/>
      <c r="O58" s="454" t="s">
        <v>76</v>
      </c>
      <c r="P58" s="151">
        <v>3.8777E-3</v>
      </c>
      <c r="Q58" s="453">
        <f t="shared" si="2"/>
        <v>5.419420544743625E-2</v>
      </c>
      <c r="AA58" s="450"/>
      <c r="AB58" s="13"/>
    </row>
    <row r="59" spans="10:28" x14ac:dyDescent="0.25">
      <c r="J59" s="451"/>
      <c r="L59" s="164"/>
      <c r="M59" s="454"/>
      <c r="N59" s="455"/>
      <c r="O59" s="454" t="s">
        <v>193</v>
      </c>
      <c r="P59" s="151">
        <v>3.3050200000000001E-3</v>
      </c>
      <c r="Q59" s="453">
        <f t="shared" si="2"/>
        <v>4.6190508004199854E-2</v>
      </c>
      <c r="AA59" s="450"/>
      <c r="AB59" s="13"/>
    </row>
    <row r="60" spans="10:28" x14ac:dyDescent="0.25">
      <c r="J60" s="451"/>
      <c r="L60" s="164"/>
      <c r="M60" s="454"/>
      <c r="N60" s="455"/>
      <c r="O60" s="454" t="s">
        <v>166</v>
      </c>
      <c r="P60" s="151">
        <v>3.00001E-3</v>
      </c>
      <c r="Q60" s="453">
        <f t="shared" si="2"/>
        <v>4.1927729913186482E-2</v>
      </c>
      <c r="AA60" s="450"/>
      <c r="AB60" s="13"/>
    </row>
    <row r="61" spans="10:28" x14ac:dyDescent="0.25">
      <c r="J61" s="451"/>
      <c r="L61" s="164"/>
      <c r="M61" s="454"/>
      <c r="N61" s="455"/>
      <c r="O61" s="454" t="s">
        <v>192</v>
      </c>
      <c r="P61" s="151">
        <v>2.9055500000000002E-3</v>
      </c>
      <c r="Q61" s="453">
        <f t="shared" si="2"/>
        <v>4.0607569857853472E-2</v>
      </c>
      <c r="AA61" s="450"/>
      <c r="AB61" s="13"/>
    </row>
    <row r="62" spans="10:28" x14ac:dyDescent="0.25">
      <c r="J62" s="451"/>
      <c r="L62" s="164"/>
      <c r="M62" s="454"/>
      <c r="N62" s="455"/>
      <c r="O62" s="454" t="s">
        <v>180</v>
      </c>
      <c r="P62" s="151">
        <v>2.8756300000000001E-3</v>
      </c>
      <c r="Q62" s="453">
        <f t="shared" si="2"/>
        <v>4.0189412025378735E-2</v>
      </c>
      <c r="AA62" s="450"/>
      <c r="AB62" s="13"/>
    </row>
    <row r="63" spans="10:28" x14ac:dyDescent="0.25">
      <c r="J63" s="451"/>
      <c r="L63" s="164"/>
      <c r="M63" s="454"/>
      <c r="N63" s="455"/>
      <c r="O63" s="454" t="s">
        <v>190</v>
      </c>
      <c r="P63" s="151">
        <v>2.6334600000000002E-3</v>
      </c>
      <c r="Q63" s="453">
        <f t="shared" si="2"/>
        <v>3.6804877189469398E-2</v>
      </c>
      <c r="AA63" s="450"/>
      <c r="AB63" s="13"/>
    </row>
    <row r="64" spans="10:28" x14ac:dyDescent="0.25">
      <c r="J64" s="451"/>
      <c r="L64" s="164"/>
      <c r="M64" s="454"/>
      <c r="N64" s="455"/>
      <c r="O64" s="454" t="s">
        <v>207</v>
      </c>
      <c r="P64" s="151">
        <v>1.9630999999999997E-3</v>
      </c>
      <c r="Q64" s="453">
        <f t="shared" si="2"/>
        <v>2.7436017410800755E-2</v>
      </c>
      <c r="AA64" s="450"/>
      <c r="AB64" s="13"/>
    </row>
    <row r="65" spans="10:28" x14ac:dyDescent="0.25">
      <c r="J65" s="451"/>
      <c r="L65" s="164"/>
      <c r="M65" s="454"/>
      <c r="N65" s="455"/>
      <c r="O65" s="454" t="s">
        <v>120</v>
      </c>
      <c r="P65" s="151">
        <v>1.8275100000000001E-3</v>
      </c>
      <c r="Q65" s="453">
        <f t="shared" si="2"/>
        <v>2.5541030094448833E-2</v>
      </c>
      <c r="AA65" s="450"/>
      <c r="AB65" s="13"/>
    </row>
    <row r="66" spans="10:28" x14ac:dyDescent="0.25">
      <c r="J66" s="451"/>
      <c r="L66" s="164"/>
      <c r="M66" s="454"/>
      <c r="N66" s="455"/>
      <c r="O66" s="454" t="s">
        <v>191</v>
      </c>
      <c r="P66" s="151">
        <v>1.6289799999999999E-3</v>
      </c>
      <c r="Q66" s="453">
        <f t="shared" si="2"/>
        <v>2.2766401936654385E-2</v>
      </c>
      <c r="AA66" s="450"/>
      <c r="AB66" s="13"/>
    </row>
    <row r="67" spans="10:28" x14ac:dyDescent="0.25">
      <c r="J67" s="451"/>
      <c r="L67" s="164"/>
      <c r="M67" s="454"/>
      <c r="N67" s="455"/>
      <c r="O67" s="454" t="s">
        <v>195</v>
      </c>
      <c r="P67" s="151">
        <v>1.59122E-3</v>
      </c>
      <c r="Q67" s="453">
        <f t="shared" ref="Q67:Q82" si="3">(P67/$P$83)*100</f>
        <v>2.2238673335242411E-2</v>
      </c>
      <c r="AA67" s="450"/>
      <c r="AB67" s="13"/>
    </row>
    <row r="68" spans="10:28" x14ac:dyDescent="0.25">
      <c r="J68" s="451"/>
      <c r="L68" s="164"/>
      <c r="M68" s="454"/>
      <c r="N68" s="455"/>
      <c r="O68" s="454" t="s">
        <v>981</v>
      </c>
      <c r="P68" s="151">
        <v>1.5300799999999999E-3</v>
      </c>
      <c r="Q68" s="453">
        <f t="shared" si="3"/>
        <v>2.1384189047892629E-2</v>
      </c>
      <c r="AA68" s="450"/>
      <c r="AB68" s="13"/>
    </row>
    <row r="69" spans="10:28" x14ac:dyDescent="0.25">
      <c r="J69" s="451"/>
      <c r="L69" s="164"/>
      <c r="M69" s="454"/>
      <c r="N69" s="455"/>
      <c r="O69" s="454" t="s">
        <v>108</v>
      </c>
      <c r="P69" s="151">
        <v>1.51771E-3</v>
      </c>
      <c r="Q69" s="453">
        <f t="shared" si="3"/>
        <v>2.1211307617822028E-2</v>
      </c>
      <c r="AA69" s="450"/>
      <c r="AB69" s="13"/>
    </row>
    <row r="70" spans="10:28" x14ac:dyDescent="0.25">
      <c r="J70" s="451"/>
      <c r="L70" s="164"/>
      <c r="M70" s="454"/>
      <c r="N70" s="455"/>
      <c r="O70" s="454" t="s">
        <v>96</v>
      </c>
      <c r="P70" s="151">
        <v>1.2912900000000001E-3</v>
      </c>
      <c r="Q70" s="453">
        <f t="shared" si="3"/>
        <v>1.8046892630224094E-2</v>
      </c>
      <c r="AA70" s="450"/>
      <c r="AB70" s="13"/>
    </row>
    <row r="71" spans="10:28" x14ac:dyDescent="0.25">
      <c r="J71" s="451"/>
      <c r="L71" s="164"/>
      <c r="M71" s="454"/>
      <c r="N71" s="455"/>
      <c r="O71" s="454" t="s">
        <v>138</v>
      </c>
      <c r="P71" s="151">
        <v>1.20502E-3</v>
      </c>
      <c r="Q71" s="453">
        <f t="shared" si="3"/>
        <v>1.6841194896013004E-2</v>
      </c>
      <c r="AA71" s="450"/>
      <c r="AB71" s="13"/>
    </row>
    <row r="72" spans="10:28" x14ac:dyDescent="0.25">
      <c r="J72" s="451"/>
      <c r="L72" s="164"/>
      <c r="M72" s="454"/>
      <c r="N72" s="455"/>
      <c r="O72" s="454" t="s">
        <v>80</v>
      </c>
      <c r="P72" s="151">
        <v>1.0499999999999999E-3</v>
      </c>
      <c r="Q72" s="453">
        <f t="shared" si="3"/>
        <v>1.4674656554093422E-2</v>
      </c>
      <c r="AA72" s="450"/>
      <c r="AB72" s="13"/>
    </row>
    <row r="73" spans="10:28" x14ac:dyDescent="0.25">
      <c r="J73" s="451"/>
      <c r="L73" s="164"/>
      <c r="M73" s="454"/>
      <c r="N73" s="455"/>
      <c r="O73" s="454" t="s">
        <v>146</v>
      </c>
      <c r="P73" s="151">
        <v>9.8594000000000004E-4</v>
      </c>
      <c r="Q73" s="453">
        <f t="shared" si="3"/>
        <v>1.3779362745659876E-2</v>
      </c>
      <c r="AA73" s="450"/>
      <c r="AB73" s="13"/>
    </row>
    <row r="74" spans="10:28" x14ac:dyDescent="0.25">
      <c r="J74" s="451"/>
      <c r="L74" s="164"/>
      <c r="M74" s="454"/>
      <c r="N74" s="455"/>
      <c r="O74" s="454" t="s">
        <v>144</v>
      </c>
      <c r="P74" s="151">
        <v>8.9368E-4</v>
      </c>
      <c r="Q74" s="453">
        <f t="shared" si="3"/>
        <v>1.2489949589773532E-2</v>
      </c>
      <c r="AA74" s="450"/>
      <c r="AB74" s="13"/>
    </row>
    <row r="75" spans="10:28" x14ac:dyDescent="0.25">
      <c r="J75" s="451"/>
      <c r="L75" s="164"/>
      <c r="M75" s="454"/>
      <c r="N75" s="455"/>
      <c r="O75" s="454" t="s">
        <v>197</v>
      </c>
      <c r="P75" s="151">
        <v>7.6000000000000004E-4</v>
      </c>
      <c r="Q75" s="453">
        <f t="shared" si="3"/>
        <v>1.0621656172486667E-2</v>
      </c>
      <c r="AA75" s="450"/>
      <c r="AB75" s="13"/>
    </row>
    <row r="76" spans="10:28" x14ac:dyDescent="0.25">
      <c r="J76" s="451"/>
      <c r="L76" s="164"/>
      <c r="M76" s="454"/>
      <c r="N76" s="455"/>
      <c r="O76" s="454" t="s">
        <v>160</v>
      </c>
      <c r="P76" s="151">
        <v>6.4999999999999997E-4</v>
      </c>
      <c r="Q76" s="453">
        <f t="shared" si="3"/>
        <v>9.0843112001530706E-3</v>
      </c>
      <c r="AA76" s="450"/>
      <c r="AB76" s="13"/>
    </row>
    <row r="77" spans="10:28" x14ac:dyDescent="0.25">
      <c r="J77" s="451"/>
      <c r="L77" s="164"/>
      <c r="M77" s="454"/>
      <c r="N77" s="455"/>
      <c r="O77" s="454" t="s">
        <v>133</v>
      </c>
      <c r="P77" s="151">
        <v>6.0251E-4</v>
      </c>
      <c r="Q77" s="453">
        <f t="shared" si="3"/>
        <v>8.4205974480065018E-3</v>
      </c>
      <c r="AA77" s="450"/>
      <c r="AB77" s="13"/>
    </row>
    <row r="78" spans="10:28" x14ac:dyDescent="0.25">
      <c r="J78" s="451"/>
      <c r="L78" s="164"/>
      <c r="M78" s="454"/>
      <c r="N78" s="455"/>
      <c r="O78" s="454" t="s">
        <v>150</v>
      </c>
      <c r="P78" s="151">
        <v>5.9999999999999995E-4</v>
      </c>
      <c r="Q78" s="453">
        <f t="shared" si="3"/>
        <v>8.3855180309105257E-3</v>
      </c>
      <c r="AA78" s="450"/>
      <c r="AB78" s="13"/>
    </row>
    <row r="79" spans="10:28" x14ac:dyDescent="0.25">
      <c r="J79" s="451"/>
      <c r="L79" s="164"/>
      <c r="M79" s="454"/>
      <c r="N79" s="455"/>
      <c r="O79" s="454" t="s">
        <v>104</v>
      </c>
      <c r="P79" s="151">
        <v>4.6999999999999999E-4</v>
      </c>
      <c r="Q79" s="453">
        <f t="shared" si="3"/>
        <v>6.5686557908799124E-3</v>
      </c>
      <c r="AA79" s="450"/>
      <c r="AB79" s="13"/>
    </row>
    <row r="80" spans="10:28" x14ac:dyDescent="0.25">
      <c r="J80" s="451"/>
      <c r="L80" s="164"/>
      <c r="M80" s="454"/>
      <c r="N80" s="455"/>
      <c r="O80" s="454" t="s">
        <v>119</v>
      </c>
      <c r="P80" s="151">
        <v>4.0000000000000002E-4</v>
      </c>
      <c r="Q80" s="453">
        <f t="shared" si="3"/>
        <v>5.590345353940351E-3</v>
      </c>
      <c r="AA80" s="450"/>
      <c r="AB80" s="13"/>
    </row>
    <row r="81" spans="10:28" x14ac:dyDescent="0.25">
      <c r="J81" s="451"/>
      <c r="L81" s="164"/>
      <c r="M81" s="454"/>
      <c r="N81" s="455"/>
      <c r="O81" s="454" t="s">
        <v>33</v>
      </c>
      <c r="P81" s="151">
        <v>2.7001E-4</v>
      </c>
      <c r="Q81" s="453">
        <f t="shared" si="3"/>
        <v>3.7736228725435855E-3</v>
      </c>
      <c r="AA81" s="450"/>
      <c r="AB81" s="13"/>
    </row>
    <row r="82" spans="10:28" x14ac:dyDescent="0.25">
      <c r="J82" s="451"/>
      <c r="L82" s="164"/>
      <c r="M82" s="454"/>
      <c r="N82" s="455"/>
      <c r="O82" s="454" t="s">
        <v>156</v>
      </c>
      <c r="P82" s="151">
        <v>6.0009999999999996E-5</v>
      </c>
      <c r="Q82" s="453">
        <f t="shared" si="3"/>
        <v>8.386915617249011E-4</v>
      </c>
      <c r="AA82" s="450"/>
      <c r="AB82" s="13"/>
    </row>
    <row r="83" spans="10:28" x14ac:dyDescent="0.25">
      <c r="J83" s="451"/>
      <c r="L83" s="353"/>
      <c r="M83" s="355">
        <f>SUBTOTAL(109,Table497011[Column2])</f>
        <v>0.86854310000000001</v>
      </c>
      <c r="N83" s="355">
        <f>SUBTOTAL(109,Table497011[Column3])</f>
        <v>99.999999999999986</v>
      </c>
      <c r="O83" s="356"/>
      <c r="P83" s="452">
        <f>SUBTOTAL(109,Table497011[Column5])</f>
        <v>7.1551930100000041</v>
      </c>
      <c r="Q83" s="357">
        <f>SUBTOTAL(109,Table497011[Column6])</f>
        <v>99.999999999999929</v>
      </c>
      <c r="AB83" s="450"/>
    </row>
    <row r="84" spans="10:28" x14ac:dyDescent="0.25">
      <c r="J84" s="451"/>
      <c r="L84" s="1"/>
      <c r="M84" s="1"/>
      <c r="N84" s="1"/>
      <c r="O84" s="1"/>
      <c r="AB84" s="450"/>
    </row>
    <row r="85" spans="10:28" x14ac:dyDescent="0.25">
      <c r="J85" s="451"/>
      <c r="L85" s="1"/>
      <c r="M85" s="1"/>
      <c r="N85" s="1"/>
      <c r="O85" s="1"/>
      <c r="AB85" s="450"/>
    </row>
    <row r="86" spans="10:28" x14ac:dyDescent="0.25">
      <c r="J86" s="451"/>
      <c r="L86" s="1"/>
      <c r="M86" s="1"/>
      <c r="N86" s="1"/>
      <c r="O86" s="1"/>
      <c r="AB86" s="450"/>
    </row>
    <row r="87" spans="10:28" x14ac:dyDescent="0.25">
      <c r="J87" s="451"/>
      <c r="L87" s="1"/>
      <c r="M87" s="1"/>
      <c r="N87" s="1"/>
      <c r="O87" s="1"/>
      <c r="AB87" s="450"/>
    </row>
    <row r="88" spans="10:28" x14ac:dyDescent="0.25">
      <c r="J88" s="451"/>
      <c r="L88" s="1"/>
      <c r="M88" s="1"/>
      <c r="N88" s="1"/>
      <c r="O88" s="1"/>
      <c r="AB88" s="450"/>
    </row>
    <row r="89" spans="10:28" x14ac:dyDescent="0.25">
      <c r="J89" s="451"/>
      <c r="L89" s="1"/>
      <c r="M89" s="1"/>
      <c r="N89" s="1"/>
      <c r="O89" s="1"/>
      <c r="AB89" s="450"/>
    </row>
    <row r="90" spans="10:28" x14ac:dyDescent="0.25">
      <c r="J90" s="451"/>
      <c r="L90" s="1"/>
      <c r="M90" s="1"/>
      <c r="N90" s="1"/>
      <c r="O90" s="1"/>
      <c r="AB90" s="450"/>
    </row>
    <row r="91" spans="10:28" x14ac:dyDescent="0.25">
      <c r="J91" s="451"/>
      <c r="L91" s="1"/>
      <c r="M91" s="1"/>
      <c r="N91" s="1"/>
      <c r="O91" s="1"/>
      <c r="AB91" s="450"/>
    </row>
    <row r="92" spans="10:28" ht="13" x14ac:dyDescent="0.3">
      <c r="J92" s="451"/>
      <c r="L92" s="1"/>
      <c r="M92" s="1"/>
      <c r="N92" s="1"/>
      <c r="O92" s="1"/>
      <c r="R92" s="3"/>
      <c r="AB92" s="450"/>
    </row>
    <row r="93" spans="10:28" x14ac:dyDescent="0.25">
      <c r="J93" s="451"/>
      <c r="L93" s="1"/>
      <c r="M93" s="1"/>
      <c r="N93" s="1"/>
      <c r="O93" s="1"/>
      <c r="AB93" s="450"/>
    </row>
    <row r="94" spans="10:28" x14ac:dyDescent="0.25">
      <c r="J94" s="451"/>
      <c r="L94" s="1"/>
      <c r="M94" s="1"/>
      <c r="N94" s="1"/>
      <c r="O94" s="1"/>
      <c r="AB94" s="450"/>
    </row>
    <row r="95" spans="10:28" x14ac:dyDescent="0.25">
      <c r="J95" s="451"/>
      <c r="L95" s="1"/>
      <c r="M95" s="1"/>
      <c r="N95" s="1"/>
      <c r="O95" s="1"/>
      <c r="AB95" s="450"/>
    </row>
    <row r="96" spans="10:28" x14ac:dyDescent="0.25">
      <c r="J96" s="451"/>
      <c r="L96" s="1"/>
      <c r="M96" s="1"/>
      <c r="N96" s="1"/>
      <c r="O96" s="1"/>
      <c r="AB96" s="450"/>
    </row>
    <row r="97" spans="10:28" x14ac:dyDescent="0.25">
      <c r="J97" s="451"/>
      <c r="L97" s="1"/>
      <c r="M97" s="1"/>
      <c r="N97" s="1"/>
      <c r="O97" s="1"/>
      <c r="AB97" s="450"/>
    </row>
    <row r="98" spans="10:28" x14ac:dyDescent="0.25">
      <c r="J98" s="451"/>
      <c r="L98" s="1"/>
      <c r="M98" s="1"/>
      <c r="N98" s="1"/>
      <c r="O98" s="1"/>
      <c r="AB98" s="450"/>
    </row>
    <row r="99" spans="10:28" x14ac:dyDescent="0.25">
      <c r="J99" s="451"/>
      <c r="L99" s="1"/>
      <c r="M99" s="1"/>
      <c r="N99" s="1"/>
      <c r="O99" s="1"/>
      <c r="AB99" s="450"/>
    </row>
    <row r="100" spans="10:28" x14ac:dyDescent="0.25">
      <c r="J100" s="451"/>
      <c r="L100" s="1"/>
      <c r="M100" s="1"/>
      <c r="N100" s="1"/>
      <c r="O100" s="1"/>
      <c r="AB100" s="450"/>
    </row>
    <row r="101" spans="10:28" x14ac:dyDescent="0.25">
      <c r="J101" s="451"/>
      <c r="L101" s="1"/>
      <c r="M101" s="1"/>
      <c r="N101" s="1"/>
      <c r="O101" s="1"/>
      <c r="AB101" s="450"/>
    </row>
    <row r="102" spans="10:28" x14ac:dyDescent="0.25">
      <c r="J102" s="451"/>
      <c r="L102" s="1"/>
      <c r="M102" s="1"/>
      <c r="N102" s="1"/>
      <c r="O102" s="1"/>
      <c r="AB102" s="450"/>
    </row>
    <row r="103" spans="10:28" x14ac:dyDescent="0.25">
      <c r="J103" s="451"/>
      <c r="L103" s="1"/>
      <c r="M103" s="1"/>
      <c r="N103" s="1"/>
      <c r="O103" s="1"/>
      <c r="AB103" s="450"/>
    </row>
    <row r="104" spans="10:28" x14ac:dyDescent="0.25">
      <c r="J104" s="451"/>
      <c r="L104" s="1"/>
      <c r="M104" s="1"/>
      <c r="N104" s="1"/>
      <c r="O104" s="1"/>
      <c r="AB104" s="450"/>
    </row>
    <row r="105" spans="10:28" x14ac:dyDescent="0.25">
      <c r="J105" s="451"/>
      <c r="L105" s="1"/>
      <c r="M105" s="1"/>
      <c r="N105" s="1"/>
      <c r="O105" s="1"/>
      <c r="AB105" s="450"/>
    </row>
    <row r="106" spans="10:28" x14ac:dyDescent="0.25">
      <c r="L106" s="1"/>
      <c r="M106" s="1"/>
      <c r="N106" s="1"/>
      <c r="O106" s="1"/>
    </row>
    <row r="107" spans="10:28" x14ac:dyDescent="0.25">
      <c r="L107" s="1"/>
      <c r="M107" s="1"/>
      <c r="N107" s="1"/>
      <c r="O107" s="1"/>
    </row>
    <row r="108" spans="10:28" x14ac:dyDescent="0.25">
      <c r="L108" s="1"/>
      <c r="M108" s="1"/>
      <c r="N108" s="1"/>
      <c r="O108" s="1"/>
    </row>
    <row r="109" spans="10:28" x14ac:dyDescent="0.25">
      <c r="L109" s="1"/>
      <c r="M109" s="1"/>
      <c r="N109" s="1"/>
      <c r="O109" s="1"/>
    </row>
    <row r="110" spans="10:28" x14ac:dyDescent="0.25">
      <c r="L110" s="1"/>
      <c r="M110" s="1"/>
      <c r="N110" s="1"/>
      <c r="O110" s="1"/>
    </row>
    <row r="111" spans="10:28" x14ac:dyDescent="0.25">
      <c r="L111" s="1"/>
      <c r="M111" s="1"/>
      <c r="N111" s="1"/>
      <c r="O111" s="1"/>
    </row>
    <row r="112" spans="10:28" x14ac:dyDescent="0.25">
      <c r="L112" s="1"/>
      <c r="M112" s="1"/>
      <c r="N112" s="1"/>
      <c r="O112" s="1"/>
    </row>
    <row r="113" spans="12:15" x14ac:dyDescent="0.25">
      <c r="L113" s="1"/>
      <c r="M113" s="1"/>
      <c r="N113" s="1"/>
      <c r="O113" s="1"/>
    </row>
    <row r="114" spans="12:15" x14ac:dyDescent="0.25">
      <c r="L114" s="1"/>
      <c r="M114" s="1"/>
      <c r="N114" s="1"/>
      <c r="O114" s="1"/>
    </row>
    <row r="115" spans="12:15" x14ac:dyDescent="0.25">
      <c r="L115" s="1"/>
      <c r="M115" s="1"/>
      <c r="N115" s="1"/>
      <c r="O115" s="1"/>
    </row>
    <row r="116" spans="12:15" x14ac:dyDescent="0.25">
      <c r="L116" s="1"/>
      <c r="M116" s="1"/>
      <c r="N116" s="1"/>
      <c r="O116" s="1"/>
    </row>
    <row r="117" spans="12:15" x14ac:dyDescent="0.25">
      <c r="L117" s="1"/>
      <c r="M117" s="1"/>
      <c r="N117" s="1"/>
      <c r="O117" s="1"/>
    </row>
    <row r="118" spans="12:15" x14ac:dyDescent="0.25">
      <c r="L118" s="1"/>
      <c r="M118" s="1"/>
      <c r="N118" s="1"/>
      <c r="O118" s="1"/>
    </row>
    <row r="119" spans="12:15" x14ac:dyDescent="0.25">
      <c r="L119" s="1"/>
      <c r="M119" s="1"/>
      <c r="N119" s="1"/>
      <c r="O119" s="1"/>
    </row>
    <row r="120" spans="12:15" x14ac:dyDescent="0.25">
      <c r="L120" s="1"/>
      <c r="M120" s="1"/>
      <c r="N120" s="1"/>
      <c r="O120" s="1"/>
    </row>
    <row r="121" spans="12:15" x14ac:dyDescent="0.25">
      <c r="L121" s="1"/>
      <c r="M121" s="1"/>
      <c r="N121" s="1"/>
      <c r="O121" s="1"/>
    </row>
    <row r="122" spans="12:15" x14ac:dyDescent="0.25">
      <c r="L122" s="1"/>
      <c r="M122" s="1"/>
      <c r="N122" s="1"/>
      <c r="O122" s="1"/>
    </row>
    <row r="123" spans="12:15" x14ac:dyDescent="0.25">
      <c r="L123" s="1"/>
      <c r="M123" s="1"/>
      <c r="N123" s="1"/>
      <c r="O123" s="1"/>
    </row>
    <row r="124" spans="12:15" x14ac:dyDescent="0.25">
      <c r="L124" s="1"/>
      <c r="M124" s="1"/>
      <c r="N124" s="1"/>
      <c r="O124" s="1"/>
    </row>
    <row r="125" spans="12:15" x14ac:dyDescent="0.25">
      <c r="L125" s="1"/>
      <c r="M125" s="1"/>
      <c r="N125" s="1"/>
      <c r="O125" s="1"/>
    </row>
    <row r="126" spans="12:15" x14ac:dyDescent="0.25">
      <c r="L126" s="1"/>
      <c r="M126" s="1"/>
      <c r="N126" s="1"/>
      <c r="O126" s="1"/>
    </row>
    <row r="127" spans="12:15" x14ac:dyDescent="0.25">
      <c r="L127" s="1"/>
      <c r="M127" s="1"/>
      <c r="N127" s="1"/>
      <c r="O127" s="1"/>
    </row>
    <row r="128" spans="12:15" x14ac:dyDescent="0.25">
      <c r="L128" s="1"/>
      <c r="M128" s="1"/>
      <c r="N128" s="1"/>
      <c r="O128" s="1"/>
    </row>
    <row r="129" spans="12:15" x14ac:dyDescent="0.25">
      <c r="L129" s="1"/>
      <c r="M129" s="1"/>
      <c r="N129" s="1"/>
      <c r="O129" s="1"/>
    </row>
    <row r="130" spans="12:15" x14ac:dyDescent="0.25">
      <c r="L130" s="1"/>
      <c r="M130" s="1"/>
      <c r="N130" s="1"/>
      <c r="O130" s="1"/>
    </row>
    <row r="131" spans="12:15" x14ac:dyDescent="0.25">
      <c r="L131" s="1"/>
      <c r="M131" s="1"/>
      <c r="N131" s="1"/>
      <c r="O131" s="1"/>
    </row>
    <row r="132" spans="12:15" x14ac:dyDescent="0.25">
      <c r="L132" s="1"/>
      <c r="M132" s="1"/>
      <c r="N132" s="1"/>
      <c r="O132" s="1"/>
    </row>
    <row r="133" spans="12:15" x14ac:dyDescent="0.25">
      <c r="L133" s="1"/>
      <c r="M133" s="1"/>
      <c r="N133" s="1"/>
      <c r="O133" s="1"/>
    </row>
    <row r="134" spans="12:15" x14ac:dyDescent="0.25">
      <c r="L134" s="1"/>
      <c r="M134" s="1"/>
      <c r="N134" s="1"/>
      <c r="O134" s="1"/>
    </row>
    <row r="135" spans="12:15" x14ac:dyDescent="0.25">
      <c r="L135" s="1"/>
      <c r="M135" s="1"/>
      <c r="N135" s="1"/>
      <c r="O135" s="1"/>
    </row>
    <row r="136" spans="12:15" x14ac:dyDescent="0.25">
      <c r="L136" s="1"/>
      <c r="M136" s="1"/>
      <c r="N136" s="1"/>
      <c r="O136" s="1"/>
    </row>
    <row r="137" spans="12:15" x14ac:dyDescent="0.25">
      <c r="L137" s="1"/>
      <c r="M137" s="1"/>
      <c r="N137" s="1"/>
      <c r="O137" s="1"/>
    </row>
    <row r="138" spans="12:15" x14ac:dyDescent="0.25">
      <c r="L138" s="1"/>
      <c r="M138" s="1"/>
      <c r="N138" s="1"/>
      <c r="O138" s="1"/>
    </row>
    <row r="139" spans="12:15" x14ac:dyDescent="0.25">
      <c r="L139" s="1"/>
      <c r="M139" s="1"/>
      <c r="N139" s="1"/>
      <c r="O139" s="1"/>
    </row>
    <row r="140" spans="12:15" x14ac:dyDescent="0.25">
      <c r="L140" s="1"/>
      <c r="M140" s="1"/>
      <c r="N140" s="1"/>
      <c r="O140" s="1"/>
    </row>
    <row r="141" spans="12:15" x14ac:dyDescent="0.25">
      <c r="L141" s="1"/>
      <c r="M141" s="1"/>
      <c r="N141" s="1"/>
      <c r="O141" s="1"/>
    </row>
    <row r="142" spans="12:15" x14ac:dyDescent="0.25">
      <c r="L142" s="1"/>
      <c r="M142" s="1"/>
      <c r="N142" s="1"/>
      <c r="O142" s="1"/>
    </row>
    <row r="143" spans="12:15" x14ac:dyDescent="0.25">
      <c r="L143" s="1"/>
      <c r="M143" s="1"/>
      <c r="N143" s="1"/>
      <c r="O143" s="1"/>
    </row>
    <row r="144" spans="12:15" x14ac:dyDescent="0.25">
      <c r="L144" s="1"/>
      <c r="M144" s="1"/>
      <c r="N144" s="1"/>
      <c r="O144" s="1"/>
    </row>
    <row r="145" spans="12:15" x14ac:dyDescent="0.25">
      <c r="L145" s="1"/>
      <c r="M145" s="1"/>
      <c r="N145" s="1"/>
      <c r="O145" s="1"/>
    </row>
    <row r="146" spans="12:15" x14ac:dyDescent="0.25">
      <c r="L146" s="1"/>
      <c r="M146" s="1"/>
      <c r="N146" s="1"/>
      <c r="O146" s="1"/>
    </row>
    <row r="147" spans="12:15" x14ac:dyDescent="0.25">
      <c r="L147" s="1"/>
      <c r="M147" s="1"/>
      <c r="N147" s="1"/>
      <c r="O147" s="1"/>
    </row>
    <row r="148" spans="12:15" x14ac:dyDescent="0.25">
      <c r="L148" s="1"/>
      <c r="M148" s="1"/>
      <c r="N148" s="1"/>
      <c r="O148" s="1"/>
    </row>
    <row r="149" spans="12:15" x14ac:dyDescent="0.25">
      <c r="L149" s="1"/>
      <c r="M149" s="1"/>
      <c r="N149" s="1"/>
      <c r="O149" s="1"/>
    </row>
    <row r="150" spans="12:15" x14ac:dyDescent="0.25">
      <c r="L150" s="1"/>
      <c r="M150" s="1"/>
      <c r="N150" s="1"/>
      <c r="O150" s="1"/>
    </row>
    <row r="151" spans="12:15" x14ac:dyDescent="0.25">
      <c r="L151" s="1"/>
      <c r="M151" s="1"/>
      <c r="N151" s="1"/>
      <c r="O151" s="1"/>
    </row>
    <row r="152" spans="12:15" x14ac:dyDescent="0.25">
      <c r="L152" s="1"/>
      <c r="M152" s="1"/>
      <c r="N152" s="1"/>
      <c r="O152" s="1"/>
    </row>
    <row r="153" spans="12:15" x14ac:dyDescent="0.25">
      <c r="L153" s="1"/>
      <c r="M153" s="1"/>
      <c r="N153" s="1"/>
      <c r="O153" s="1"/>
    </row>
    <row r="154" spans="12:15" x14ac:dyDescent="0.25">
      <c r="L154" s="1"/>
      <c r="M154" s="1"/>
      <c r="N154" s="1"/>
      <c r="O154" s="1"/>
    </row>
    <row r="155" spans="12:15" x14ac:dyDescent="0.25">
      <c r="L155" s="1"/>
      <c r="M155" s="1"/>
      <c r="N155" s="1"/>
      <c r="O155" s="1"/>
    </row>
    <row r="156" spans="12:15" x14ac:dyDescent="0.25">
      <c r="L156" s="1"/>
      <c r="M156" s="1"/>
      <c r="N156" s="1"/>
      <c r="O156" s="1"/>
    </row>
    <row r="157" spans="12:15" x14ac:dyDescent="0.25">
      <c r="L157" s="1"/>
      <c r="M157" s="1"/>
      <c r="N157" s="1"/>
      <c r="O157" s="1"/>
    </row>
    <row r="158" spans="12:15" x14ac:dyDescent="0.25">
      <c r="L158" s="1"/>
      <c r="M158" s="1"/>
      <c r="N158" s="1"/>
      <c r="O158" s="1"/>
    </row>
    <row r="159" spans="12:15" x14ac:dyDescent="0.25">
      <c r="L159" s="1"/>
      <c r="M159" s="1"/>
      <c r="N159" s="1"/>
      <c r="O159" s="1"/>
    </row>
    <row r="160" spans="12:15" x14ac:dyDescent="0.25">
      <c r="L160" s="1"/>
      <c r="M160" s="1"/>
      <c r="N160" s="1"/>
      <c r="O160" s="1"/>
    </row>
    <row r="161" spans="12:15" x14ac:dyDescent="0.25">
      <c r="L161" s="1"/>
      <c r="M161" s="1"/>
      <c r="N161" s="1"/>
      <c r="O161" s="1"/>
    </row>
    <row r="162" spans="12:15" x14ac:dyDescent="0.25">
      <c r="L162" s="1"/>
      <c r="M162" s="1"/>
      <c r="N162" s="1"/>
      <c r="O162" s="1"/>
    </row>
    <row r="163" spans="12:15" x14ac:dyDescent="0.25">
      <c r="L163" s="1"/>
      <c r="M163" s="1"/>
      <c r="N163" s="1"/>
      <c r="O163" s="1"/>
    </row>
    <row r="164" spans="12:15" x14ac:dyDescent="0.25">
      <c r="L164" s="1"/>
      <c r="M164" s="1"/>
      <c r="N164" s="1"/>
      <c r="O164" s="1"/>
    </row>
    <row r="165" spans="12:15" x14ac:dyDescent="0.25">
      <c r="L165" s="1"/>
      <c r="M165" s="1"/>
      <c r="N165" s="1"/>
      <c r="O165" s="1"/>
    </row>
    <row r="166" spans="12:15" x14ac:dyDescent="0.25">
      <c r="L166" s="1"/>
      <c r="M166" s="1"/>
      <c r="N166" s="1"/>
      <c r="O166" s="1"/>
    </row>
    <row r="167" spans="12:15" x14ac:dyDescent="0.25">
      <c r="L167" s="1"/>
      <c r="M167" s="1"/>
      <c r="N167" s="1"/>
      <c r="O167" s="1"/>
    </row>
    <row r="168" spans="12:15" x14ac:dyDescent="0.25">
      <c r="L168" s="1"/>
      <c r="M168" s="1"/>
      <c r="N168" s="1"/>
      <c r="O168" s="1"/>
    </row>
    <row r="169" spans="12:15" x14ac:dyDescent="0.25">
      <c r="L169" s="1"/>
      <c r="M169" s="1"/>
      <c r="N169" s="1"/>
      <c r="O169" s="1"/>
    </row>
    <row r="170" spans="12:15" x14ac:dyDescent="0.25">
      <c r="L170" s="1"/>
      <c r="M170" s="1"/>
      <c r="N170" s="1"/>
      <c r="O170" s="1"/>
    </row>
    <row r="171" spans="12:15" x14ac:dyDescent="0.25">
      <c r="L171" s="1"/>
      <c r="M171" s="1"/>
      <c r="N171" s="1"/>
      <c r="O171" s="1"/>
    </row>
    <row r="172" spans="12:15" x14ac:dyDescent="0.25">
      <c r="L172" s="1"/>
      <c r="M172" s="1"/>
      <c r="N172" s="1"/>
      <c r="O172" s="1"/>
    </row>
    <row r="173" spans="12:15" x14ac:dyDescent="0.25">
      <c r="L173" s="1"/>
      <c r="M173" s="1"/>
      <c r="N173" s="1"/>
      <c r="O173" s="1"/>
    </row>
    <row r="174" spans="12:15" x14ac:dyDescent="0.25">
      <c r="L174" s="1"/>
      <c r="M174" s="1"/>
      <c r="N174" s="1"/>
      <c r="O174" s="1"/>
    </row>
    <row r="175" spans="12:15" x14ac:dyDescent="0.25">
      <c r="L175" s="1"/>
      <c r="M175" s="1"/>
      <c r="N175" s="1"/>
      <c r="O175" s="1"/>
    </row>
    <row r="176" spans="12:15" x14ac:dyDescent="0.25">
      <c r="L176" s="1"/>
      <c r="M176" s="1"/>
      <c r="N176" s="1"/>
      <c r="O176" s="1"/>
    </row>
    <row r="177" spans="12:15" x14ac:dyDescent="0.25">
      <c r="L177" s="1"/>
      <c r="M177" s="1"/>
      <c r="N177" s="1"/>
      <c r="O177" s="1"/>
    </row>
    <row r="178" spans="12:15" x14ac:dyDescent="0.25">
      <c r="L178" s="1"/>
      <c r="M178" s="1"/>
      <c r="N178" s="1"/>
      <c r="O178" s="1"/>
    </row>
    <row r="179" spans="12:15" x14ac:dyDescent="0.25">
      <c r="L179" s="1"/>
      <c r="M179" s="1"/>
      <c r="N179" s="1"/>
      <c r="O179" s="1"/>
    </row>
    <row r="180" spans="12:15" x14ac:dyDescent="0.25">
      <c r="L180" s="1"/>
      <c r="M180" s="1"/>
      <c r="N180" s="1"/>
      <c r="O180" s="1"/>
    </row>
    <row r="181" spans="12:15" x14ac:dyDescent="0.25">
      <c r="L181" s="1"/>
      <c r="M181" s="1"/>
      <c r="N181" s="1"/>
      <c r="O181" s="1"/>
    </row>
    <row r="182" spans="12:15" x14ac:dyDescent="0.25">
      <c r="L182" s="1"/>
      <c r="M182" s="1"/>
      <c r="N182" s="1"/>
      <c r="O182" s="1"/>
    </row>
    <row r="183" spans="12:15" x14ac:dyDescent="0.25">
      <c r="L183" s="1"/>
      <c r="M183" s="1"/>
      <c r="N183" s="1"/>
      <c r="O183" s="1"/>
    </row>
    <row r="184" spans="12:15" x14ac:dyDescent="0.25">
      <c r="L184" s="1"/>
      <c r="M184" s="1"/>
      <c r="N184" s="1"/>
      <c r="O184" s="1"/>
    </row>
    <row r="185" spans="12:15" x14ac:dyDescent="0.25">
      <c r="L185" s="1"/>
      <c r="M185" s="1"/>
      <c r="N185" s="1"/>
      <c r="O185" s="1"/>
    </row>
    <row r="186" spans="12:15" x14ac:dyDescent="0.25">
      <c r="L186" s="1"/>
      <c r="M186" s="1"/>
      <c r="N186" s="1"/>
      <c r="O186" s="1"/>
    </row>
    <row r="187" spans="12:15" x14ac:dyDescent="0.25">
      <c r="L187" s="1"/>
      <c r="M187" s="1"/>
      <c r="N187" s="1"/>
      <c r="O187" s="1"/>
    </row>
    <row r="188" spans="12:15" x14ac:dyDescent="0.25">
      <c r="L188" s="1"/>
      <c r="M188" s="1"/>
      <c r="N188" s="1"/>
      <c r="O188" s="1"/>
    </row>
    <row r="189" spans="12:15" x14ac:dyDescent="0.25">
      <c r="L189" s="1"/>
      <c r="M189" s="1"/>
      <c r="N189" s="1"/>
      <c r="O189" s="1"/>
    </row>
    <row r="190" spans="12:15" x14ac:dyDescent="0.25">
      <c r="L190" s="1"/>
      <c r="M190" s="1"/>
      <c r="N190" s="1"/>
      <c r="O190" s="1"/>
    </row>
    <row r="191" spans="12:15" x14ac:dyDescent="0.25">
      <c r="L191" s="1"/>
      <c r="M191" s="1"/>
      <c r="N191" s="1"/>
      <c r="O191" s="1"/>
    </row>
    <row r="192" spans="12:15" x14ac:dyDescent="0.25">
      <c r="L192" s="1"/>
      <c r="M192" s="1"/>
      <c r="N192" s="1"/>
      <c r="O192" s="1"/>
    </row>
    <row r="193" spans="12:15" x14ac:dyDescent="0.25">
      <c r="L193" s="1"/>
      <c r="M193" s="1"/>
      <c r="N193" s="1"/>
      <c r="O193" s="1"/>
    </row>
    <row r="194" spans="12:15" x14ac:dyDescent="0.25">
      <c r="L194" s="1"/>
      <c r="M194" s="1"/>
      <c r="N194" s="1"/>
      <c r="O194" s="1"/>
    </row>
    <row r="195" spans="12:15" x14ac:dyDescent="0.25">
      <c r="L195" s="1"/>
      <c r="M195" s="1"/>
      <c r="N195" s="1"/>
      <c r="O195" s="1"/>
    </row>
    <row r="196" spans="12:15" x14ac:dyDescent="0.25">
      <c r="L196" s="1"/>
      <c r="M196" s="1"/>
      <c r="N196" s="1"/>
      <c r="O196" s="1"/>
    </row>
    <row r="197" spans="12:15" x14ac:dyDescent="0.25">
      <c r="L197" s="1"/>
      <c r="M197" s="1"/>
      <c r="N197" s="1"/>
      <c r="O197" s="1"/>
    </row>
    <row r="198" spans="12:15" x14ac:dyDescent="0.25">
      <c r="L198" s="1"/>
      <c r="M198" s="1"/>
      <c r="N198" s="1"/>
      <c r="O198" s="1"/>
    </row>
    <row r="199" spans="12:15" x14ac:dyDescent="0.25">
      <c r="L199" s="1"/>
      <c r="M199" s="1"/>
      <c r="N199" s="1"/>
      <c r="O199" s="1"/>
    </row>
    <row r="200" spans="12:15" x14ac:dyDescent="0.25">
      <c r="L200" s="1"/>
      <c r="M200" s="1"/>
      <c r="N200" s="1"/>
      <c r="O200" s="1"/>
    </row>
    <row r="201" spans="12:15" x14ac:dyDescent="0.25">
      <c r="L201" s="1"/>
      <c r="M201" s="1"/>
      <c r="N201" s="1"/>
      <c r="O201" s="1"/>
    </row>
    <row r="202" spans="12:15" x14ac:dyDescent="0.25">
      <c r="L202" s="1"/>
      <c r="M202" s="1"/>
      <c r="N202" s="1"/>
      <c r="O202" s="1"/>
    </row>
    <row r="203" spans="12:15" x14ac:dyDescent="0.25">
      <c r="L203" s="1"/>
      <c r="M203" s="1"/>
      <c r="N203" s="1"/>
      <c r="O203" s="1"/>
    </row>
    <row r="204" spans="12:15" x14ac:dyDescent="0.25">
      <c r="L204" s="1"/>
      <c r="M204" s="1"/>
      <c r="N204" s="1"/>
      <c r="O204" s="1"/>
    </row>
    <row r="205" spans="12:15" x14ac:dyDescent="0.25">
      <c r="L205" s="1"/>
      <c r="M205" s="1"/>
      <c r="N205" s="1"/>
      <c r="O205" s="1"/>
    </row>
    <row r="206" spans="12:15" x14ac:dyDescent="0.25">
      <c r="L206" s="1"/>
      <c r="M206" s="1"/>
      <c r="N206" s="1"/>
      <c r="O206" s="1"/>
    </row>
    <row r="207" spans="12:15" x14ac:dyDescent="0.25">
      <c r="L207" s="1"/>
      <c r="M207" s="1"/>
      <c r="N207" s="1"/>
      <c r="O207" s="1"/>
    </row>
    <row r="208" spans="12:15" x14ac:dyDescent="0.25">
      <c r="L208" s="1"/>
      <c r="M208" s="1"/>
      <c r="N208" s="1"/>
      <c r="O208" s="1"/>
    </row>
    <row r="209" spans="12:17" x14ac:dyDescent="0.25">
      <c r="L209" s="31"/>
      <c r="M209" s="159"/>
      <c r="N209" s="159"/>
      <c r="O209" s="31"/>
      <c r="P209" s="36"/>
      <c r="Q209" s="117"/>
    </row>
    <row r="210" spans="12:17" x14ac:dyDescent="0.25">
      <c r="L210" s="31"/>
      <c r="M210" s="159"/>
      <c r="N210" s="159"/>
      <c r="O210" s="31"/>
      <c r="P210" s="36"/>
      <c r="Q210" s="117"/>
    </row>
    <row r="211" spans="12:17" x14ac:dyDescent="0.25">
      <c r="L211" s="31"/>
      <c r="M211" s="159"/>
      <c r="N211" s="159"/>
      <c r="O211" s="31"/>
      <c r="P211" s="36"/>
      <c r="Q211" s="117"/>
    </row>
    <row r="212" spans="12:17" x14ac:dyDescent="0.25">
      <c r="L212" s="31"/>
      <c r="M212" s="159"/>
      <c r="N212" s="159"/>
      <c r="O212" s="31"/>
      <c r="P212" s="36"/>
      <c r="Q212" s="117"/>
    </row>
    <row r="213" spans="12:17" x14ac:dyDescent="0.25">
      <c r="L213" s="31"/>
      <c r="M213" s="159"/>
      <c r="N213" s="159"/>
      <c r="O213" s="31"/>
      <c r="P213" s="36"/>
      <c r="Q213" s="117"/>
    </row>
    <row r="214" spans="12:17" x14ac:dyDescent="0.25">
      <c r="L214" s="31"/>
      <c r="M214" s="159"/>
      <c r="N214" s="159"/>
      <c r="O214" s="31"/>
      <c r="P214" s="36"/>
      <c r="Q214" s="117"/>
    </row>
    <row r="215" spans="12:17" x14ac:dyDescent="0.25">
      <c r="L215" s="31"/>
      <c r="M215" s="159"/>
      <c r="N215" s="159"/>
      <c r="O215" s="31"/>
      <c r="P215" s="36"/>
      <c r="Q215" s="117"/>
    </row>
    <row r="216" spans="12:17" x14ac:dyDescent="0.25">
      <c r="L216" s="31"/>
      <c r="M216" s="159"/>
      <c r="N216" s="159"/>
      <c r="O216" s="31"/>
      <c r="P216" s="36"/>
      <c r="Q216" s="117"/>
    </row>
    <row r="217" spans="12:17" x14ac:dyDescent="0.25">
      <c r="L217" s="31"/>
      <c r="M217" s="159"/>
      <c r="N217" s="159"/>
      <c r="O217" s="31"/>
      <c r="P217" s="36"/>
      <c r="Q217" s="117"/>
    </row>
    <row r="218" spans="12:17" x14ac:dyDescent="0.25">
      <c r="L218" s="31"/>
      <c r="M218" s="159"/>
      <c r="N218" s="159"/>
      <c r="O218" s="31"/>
      <c r="P218" s="36"/>
      <c r="Q218" s="117"/>
    </row>
    <row r="219" spans="12:17" x14ac:dyDescent="0.25">
      <c r="L219" s="31"/>
      <c r="M219" s="159"/>
      <c r="N219" s="159"/>
      <c r="O219" s="31"/>
      <c r="P219" s="36"/>
      <c r="Q219" s="117"/>
    </row>
    <row r="220" spans="12:17" x14ac:dyDescent="0.25">
      <c r="L220" s="31"/>
      <c r="M220" s="159"/>
      <c r="N220" s="159"/>
      <c r="O220" s="31"/>
      <c r="P220" s="36"/>
      <c r="Q220" s="117"/>
    </row>
    <row r="221" spans="12:17" x14ac:dyDescent="0.25">
      <c r="L221" s="31"/>
      <c r="M221" s="159"/>
      <c r="N221" s="159"/>
      <c r="O221" s="31"/>
      <c r="P221" s="36"/>
      <c r="Q221" s="117"/>
    </row>
    <row r="222" spans="12:17" x14ac:dyDescent="0.25">
      <c r="L222" s="31"/>
      <c r="M222" s="159"/>
      <c r="N222" s="159"/>
      <c r="O222" s="31"/>
      <c r="P222" s="36"/>
      <c r="Q222" s="117"/>
    </row>
    <row r="223" spans="12:17" x14ac:dyDescent="0.25">
      <c r="L223" s="31"/>
      <c r="M223" s="159"/>
      <c r="N223" s="159"/>
      <c r="O223" s="31"/>
      <c r="P223" s="36"/>
      <c r="Q223" s="117"/>
    </row>
    <row r="224" spans="12:17" x14ac:dyDescent="0.25">
      <c r="L224" s="31"/>
      <c r="M224" s="159"/>
      <c r="N224" s="159"/>
      <c r="O224" s="31"/>
      <c r="P224" s="36"/>
      <c r="Q224" s="117"/>
    </row>
    <row r="225" spans="12:17" x14ac:dyDescent="0.25">
      <c r="L225" s="31"/>
      <c r="M225" s="159"/>
      <c r="N225" s="159"/>
      <c r="O225" s="31"/>
      <c r="P225" s="36"/>
      <c r="Q225" s="117"/>
    </row>
    <row r="226" spans="12:17" x14ac:dyDescent="0.25">
      <c r="L226" s="31"/>
      <c r="M226" s="159"/>
      <c r="N226" s="159"/>
      <c r="O226" s="31"/>
      <c r="P226" s="36"/>
      <c r="Q226" s="117"/>
    </row>
    <row r="227" spans="12:17" x14ac:dyDescent="0.25">
      <c r="L227" s="31"/>
      <c r="M227" s="159"/>
      <c r="N227" s="159"/>
      <c r="O227" s="31"/>
      <c r="P227" s="36"/>
      <c r="Q227" s="117"/>
    </row>
    <row r="228" spans="12:17" x14ac:dyDescent="0.25">
      <c r="L228" s="31"/>
      <c r="M228" s="159"/>
      <c r="N228" s="159"/>
      <c r="O228" s="31"/>
      <c r="P228" s="36"/>
      <c r="Q228" s="117"/>
    </row>
    <row r="229" spans="12:17" x14ac:dyDescent="0.25">
      <c r="L229" s="31"/>
      <c r="M229" s="159"/>
      <c r="N229" s="159"/>
      <c r="O229" s="31"/>
      <c r="P229" s="36"/>
      <c r="Q229" s="117"/>
    </row>
    <row r="230" spans="12:17" x14ac:dyDescent="0.25">
      <c r="L230" s="31"/>
      <c r="M230" s="159"/>
      <c r="N230" s="159"/>
      <c r="O230" s="31"/>
      <c r="P230" s="36"/>
      <c r="Q230" s="117"/>
    </row>
    <row r="231" spans="12:17" x14ac:dyDescent="0.25">
      <c r="L231" s="31"/>
      <c r="M231" s="159"/>
      <c r="N231" s="159"/>
      <c r="O231" s="31"/>
      <c r="P231" s="36"/>
      <c r="Q231" s="117"/>
    </row>
    <row r="232" spans="12:17" x14ac:dyDescent="0.25">
      <c r="L232" s="31"/>
      <c r="M232" s="159"/>
      <c r="N232" s="159"/>
      <c r="O232" s="31"/>
      <c r="P232" s="36"/>
      <c r="Q232" s="117"/>
    </row>
    <row r="233" spans="12:17" x14ac:dyDescent="0.25">
      <c r="L233" s="31"/>
      <c r="M233" s="159"/>
      <c r="N233" s="159"/>
      <c r="O233" s="31"/>
      <c r="P233" s="36"/>
      <c r="Q233" s="117"/>
    </row>
    <row r="234" spans="12:17" x14ac:dyDescent="0.25">
      <c r="L234" s="31"/>
      <c r="M234" s="159"/>
      <c r="N234" s="159"/>
      <c r="O234" s="31"/>
      <c r="P234" s="36"/>
      <c r="Q234" s="117"/>
    </row>
    <row r="235" spans="12:17" x14ac:dyDescent="0.25">
      <c r="L235" s="31"/>
      <c r="M235" s="159"/>
      <c r="N235" s="159"/>
      <c r="O235" s="31"/>
      <c r="P235" s="36"/>
      <c r="Q235" s="117"/>
    </row>
    <row r="236" spans="12:17" x14ac:dyDescent="0.25">
      <c r="L236" s="31"/>
      <c r="M236" s="159"/>
      <c r="N236" s="159"/>
      <c r="O236" s="31"/>
      <c r="P236" s="36"/>
      <c r="Q236" s="117"/>
    </row>
    <row r="237" spans="12:17" x14ac:dyDescent="0.25">
      <c r="L237" s="31"/>
      <c r="M237" s="159"/>
      <c r="N237" s="159"/>
      <c r="O237" s="31"/>
      <c r="P237" s="36"/>
      <c r="Q237" s="117"/>
    </row>
    <row r="238" spans="12:17" x14ac:dyDescent="0.25">
      <c r="L238" s="31"/>
      <c r="M238" s="159"/>
      <c r="N238" s="159"/>
      <c r="O238" s="31"/>
      <c r="P238" s="36"/>
      <c r="Q238" s="117"/>
    </row>
    <row r="239" spans="12:17" x14ac:dyDescent="0.25">
      <c r="L239" s="31"/>
      <c r="M239" s="159"/>
      <c r="N239" s="159"/>
      <c r="O239" s="31"/>
      <c r="P239" s="36"/>
      <c r="Q239" s="117"/>
    </row>
    <row r="240" spans="12:17" x14ac:dyDescent="0.25">
      <c r="L240" s="31"/>
      <c r="M240" s="159"/>
      <c r="N240" s="159"/>
      <c r="O240" s="31"/>
      <c r="P240" s="36"/>
      <c r="Q240" s="117"/>
    </row>
    <row r="241" spans="12:17" x14ac:dyDescent="0.25">
      <c r="L241" s="31"/>
      <c r="M241" s="159"/>
      <c r="N241" s="159"/>
      <c r="O241" s="31"/>
      <c r="P241" s="36"/>
      <c r="Q241" s="117"/>
    </row>
    <row r="242" spans="12:17" x14ac:dyDescent="0.25">
      <c r="L242" s="31"/>
      <c r="M242" s="159"/>
      <c r="N242" s="159"/>
      <c r="O242" s="31"/>
      <c r="P242" s="36"/>
      <c r="Q242" s="117"/>
    </row>
    <row r="243" spans="12:17" x14ac:dyDescent="0.25">
      <c r="L243" s="31"/>
      <c r="M243" s="159"/>
      <c r="N243" s="159"/>
      <c r="O243" s="31"/>
      <c r="P243" s="36"/>
      <c r="Q243" s="117"/>
    </row>
    <row r="244" spans="12:17" x14ac:dyDescent="0.25">
      <c r="L244" s="31"/>
      <c r="M244" s="159"/>
      <c r="N244" s="159"/>
      <c r="O244" s="31"/>
      <c r="P244" s="36"/>
      <c r="Q244" s="117"/>
    </row>
    <row r="245" spans="12:17" x14ac:dyDescent="0.25">
      <c r="L245" s="31"/>
      <c r="M245" s="159"/>
      <c r="N245" s="159"/>
      <c r="O245" s="31"/>
      <c r="P245" s="36"/>
      <c r="Q245" s="117"/>
    </row>
    <row r="246" spans="12:17" x14ac:dyDescent="0.25">
      <c r="L246" s="31"/>
      <c r="M246" s="159"/>
      <c r="N246" s="159"/>
      <c r="O246" s="31"/>
      <c r="P246" s="36"/>
      <c r="Q246" s="117"/>
    </row>
    <row r="247" spans="12:17" x14ac:dyDescent="0.25">
      <c r="L247" s="31"/>
      <c r="M247" s="159"/>
      <c r="N247" s="159"/>
      <c r="O247" s="31"/>
      <c r="P247" s="36"/>
      <c r="Q247" s="117"/>
    </row>
    <row r="248" spans="12:17" x14ac:dyDescent="0.25">
      <c r="L248" s="31"/>
      <c r="M248" s="159"/>
      <c r="N248" s="159"/>
      <c r="O248" s="31"/>
      <c r="P248" s="36"/>
      <c r="Q248" s="117"/>
    </row>
    <row r="249" spans="12:17" x14ac:dyDescent="0.25">
      <c r="L249" s="31"/>
      <c r="M249" s="159"/>
      <c r="N249" s="159"/>
      <c r="O249" s="31"/>
      <c r="P249" s="36"/>
      <c r="Q249" s="117"/>
    </row>
    <row r="250" spans="12:17" x14ac:dyDescent="0.25">
      <c r="L250" s="31"/>
      <c r="M250" s="159"/>
      <c r="N250" s="159"/>
      <c r="O250" s="31"/>
      <c r="P250" s="36"/>
      <c r="Q250" s="117"/>
    </row>
    <row r="251" spans="12:17" x14ac:dyDescent="0.25">
      <c r="L251" s="31"/>
      <c r="M251" s="159"/>
      <c r="N251" s="159"/>
      <c r="O251" s="31"/>
      <c r="P251" s="36"/>
      <c r="Q251" s="117"/>
    </row>
    <row r="252" spans="12:17" x14ac:dyDescent="0.25">
      <c r="L252" s="31"/>
      <c r="M252" s="159"/>
      <c r="N252" s="159"/>
      <c r="O252" s="31"/>
      <c r="P252" s="36"/>
      <c r="Q252" s="117"/>
    </row>
    <row r="253" spans="12:17" x14ac:dyDescent="0.25">
      <c r="L253" s="31"/>
      <c r="M253" s="159"/>
      <c r="N253" s="159"/>
      <c r="O253" s="31"/>
      <c r="P253" s="36"/>
      <c r="Q253" s="117"/>
    </row>
    <row r="254" spans="12:17" x14ac:dyDescent="0.25">
      <c r="L254" s="31"/>
      <c r="M254" s="159"/>
      <c r="N254" s="159"/>
      <c r="O254" s="31"/>
      <c r="P254" s="36"/>
      <c r="Q254" s="117"/>
    </row>
    <row r="255" spans="12:17" x14ac:dyDescent="0.25">
      <c r="L255" s="31"/>
      <c r="M255" s="159"/>
      <c r="N255" s="159"/>
      <c r="O255" s="31"/>
      <c r="P255" s="36"/>
      <c r="Q255" s="117"/>
    </row>
    <row r="256" spans="12:17" x14ac:dyDescent="0.25">
      <c r="L256" s="31"/>
      <c r="M256" s="159"/>
      <c r="N256" s="159"/>
      <c r="O256" s="31"/>
      <c r="P256" s="36"/>
      <c r="Q256" s="117"/>
    </row>
    <row r="257" spans="12:17" x14ac:dyDescent="0.25">
      <c r="L257" s="31"/>
      <c r="M257" s="159"/>
      <c r="N257" s="159"/>
      <c r="O257" s="31"/>
      <c r="P257" s="36"/>
      <c r="Q257" s="117"/>
    </row>
    <row r="258" spans="12:17" x14ac:dyDescent="0.25">
      <c r="L258" s="31"/>
      <c r="M258" s="159"/>
      <c r="N258" s="159"/>
      <c r="O258" s="31"/>
      <c r="P258" s="36"/>
      <c r="Q258" s="117"/>
    </row>
    <row r="259" spans="12:17" x14ac:dyDescent="0.25">
      <c r="L259" s="31"/>
      <c r="M259" s="159"/>
      <c r="N259" s="159"/>
      <c r="O259" s="31"/>
      <c r="P259" s="36"/>
      <c r="Q259" s="117"/>
    </row>
    <row r="260" spans="12:17" x14ac:dyDescent="0.25">
      <c r="L260" s="31"/>
      <c r="M260" s="159"/>
      <c r="N260" s="159"/>
      <c r="O260" s="31"/>
      <c r="P260" s="36"/>
      <c r="Q260" s="117"/>
    </row>
    <row r="261" spans="12:17" x14ac:dyDescent="0.25">
      <c r="L261" s="31"/>
      <c r="M261" s="159"/>
      <c r="N261" s="159"/>
      <c r="O261" s="31"/>
      <c r="P261" s="36"/>
      <c r="Q261" s="117"/>
    </row>
    <row r="262" spans="12:17" x14ac:dyDescent="0.25">
      <c r="L262" s="31"/>
      <c r="M262" s="159"/>
      <c r="N262" s="159"/>
      <c r="O262" s="31"/>
      <c r="P262" s="36"/>
      <c r="Q262" s="117"/>
    </row>
    <row r="263" spans="12:17" x14ac:dyDescent="0.25">
      <c r="L263" s="31"/>
      <c r="M263" s="159"/>
      <c r="N263" s="159"/>
      <c r="O263" s="31"/>
      <c r="P263" s="36"/>
      <c r="Q263" s="117"/>
    </row>
    <row r="264" spans="12:17" x14ac:dyDescent="0.25">
      <c r="L264" s="31"/>
      <c r="M264" s="159"/>
      <c r="N264" s="159"/>
      <c r="O264" s="31"/>
      <c r="P264" s="36"/>
      <c r="Q264" s="117"/>
    </row>
    <row r="265" spans="12:17" x14ac:dyDescent="0.25">
      <c r="L265" s="31"/>
      <c r="M265" s="159"/>
      <c r="N265" s="159"/>
      <c r="O265" s="31"/>
      <c r="P265" s="36"/>
      <c r="Q265" s="117"/>
    </row>
    <row r="266" spans="12:17" x14ac:dyDescent="0.25">
      <c r="L266" s="31"/>
      <c r="M266" s="159"/>
      <c r="N266" s="159"/>
      <c r="O266" s="31"/>
      <c r="P266" s="36"/>
      <c r="Q266" s="117"/>
    </row>
    <row r="267" spans="12:17" x14ac:dyDescent="0.25">
      <c r="L267" s="31"/>
      <c r="M267" s="159"/>
      <c r="N267" s="159"/>
      <c r="O267" s="31"/>
      <c r="P267" s="36"/>
      <c r="Q267" s="117"/>
    </row>
    <row r="268" spans="12:17" x14ac:dyDescent="0.25">
      <c r="L268" s="31"/>
      <c r="M268" s="159"/>
      <c r="N268" s="159"/>
      <c r="O268" s="31"/>
      <c r="P268" s="36"/>
      <c r="Q268" s="117"/>
    </row>
    <row r="269" spans="12:17" x14ac:dyDescent="0.25">
      <c r="L269" s="31"/>
      <c r="M269" s="159"/>
      <c r="N269" s="159"/>
      <c r="O269" s="31"/>
      <c r="P269" s="36"/>
      <c r="Q269" s="117"/>
    </row>
    <row r="270" spans="12:17" x14ac:dyDescent="0.25">
      <c r="L270" s="31"/>
      <c r="M270" s="159"/>
      <c r="N270" s="159"/>
      <c r="O270" s="31"/>
      <c r="P270" s="36"/>
      <c r="Q270" s="117"/>
    </row>
    <row r="271" spans="12:17" x14ac:dyDescent="0.25">
      <c r="L271" s="31"/>
      <c r="M271" s="159"/>
      <c r="N271" s="159"/>
      <c r="O271" s="31"/>
      <c r="P271" s="36"/>
      <c r="Q271" s="117"/>
    </row>
    <row r="272" spans="12:17" x14ac:dyDescent="0.25">
      <c r="L272" s="31"/>
      <c r="M272" s="159"/>
      <c r="N272" s="159"/>
      <c r="O272" s="31"/>
      <c r="P272" s="36"/>
      <c r="Q272" s="117"/>
    </row>
    <row r="273" spans="12:17" x14ac:dyDescent="0.25">
      <c r="L273" s="31"/>
      <c r="M273" s="159"/>
      <c r="N273" s="159"/>
      <c r="O273" s="31"/>
      <c r="P273" s="36"/>
      <c r="Q273" s="117"/>
    </row>
    <row r="274" spans="12:17" x14ac:dyDescent="0.25">
      <c r="L274" s="31"/>
      <c r="M274" s="159"/>
      <c r="N274" s="159"/>
      <c r="O274" s="31"/>
      <c r="P274" s="36"/>
      <c r="Q274" s="117"/>
    </row>
    <row r="275" spans="12:17" x14ac:dyDescent="0.25">
      <c r="L275" s="31"/>
      <c r="M275" s="159"/>
      <c r="N275" s="159"/>
      <c r="O275" s="31"/>
      <c r="P275" s="36"/>
      <c r="Q275" s="117"/>
    </row>
    <row r="276" spans="12:17" x14ac:dyDescent="0.25">
      <c r="L276" s="31"/>
      <c r="M276" s="159"/>
      <c r="N276" s="159"/>
      <c r="O276" s="31"/>
      <c r="P276" s="36"/>
      <c r="Q276" s="117"/>
    </row>
    <row r="277" spans="12:17" x14ac:dyDescent="0.25">
      <c r="L277" s="31"/>
      <c r="M277" s="159"/>
      <c r="N277" s="159"/>
      <c r="O277" s="31"/>
      <c r="P277" s="36"/>
      <c r="Q277" s="117"/>
    </row>
    <row r="278" spans="12:17" x14ac:dyDescent="0.25">
      <c r="L278" s="31"/>
      <c r="M278" s="159"/>
      <c r="N278" s="159"/>
      <c r="O278" s="31"/>
      <c r="P278" s="36"/>
      <c r="Q278" s="117"/>
    </row>
    <row r="279" spans="12:17" x14ac:dyDescent="0.25">
      <c r="L279" s="31"/>
      <c r="M279" s="159"/>
      <c r="N279" s="159"/>
      <c r="O279" s="31"/>
      <c r="P279" s="36"/>
      <c r="Q279" s="117"/>
    </row>
    <row r="280" spans="12:17" x14ac:dyDescent="0.25">
      <c r="L280" s="31"/>
      <c r="M280" s="159"/>
      <c r="N280" s="159"/>
      <c r="O280" s="31"/>
      <c r="P280" s="36"/>
      <c r="Q280" s="117"/>
    </row>
    <row r="281" spans="12:17" x14ac:dyDescent="0.25">
      <c r="L281" s="31"/>
      <c r="M281" s="159"/>
      <c r="N281" s="159"/>
      <c r="O281" s="31"/>
      <c r="P281" s="36"/>
      <c r="Q281" s="117"/>
    </row>
    <row r="282" spans="12:17" x14ac:dyDescent="0.25">
      <c r="L282" s="31"/>
      <c r="M282" s="159"/>
      <c r="N282" s="159"/>
      <c r="O282" s="31"/>
      <c r="P282" s="36"/>
      <c r="Q282" s="117"/>
    </row>
    <row r="283" spans="12:17" x14ac:dyDescent="0.25">
      <c r="L283" s="31"/>
      <c r="M283" s="159"/>
      <c r="N283" s="159"/>
      <c r="O283" s="31"/>
      <c r="P283" s="36"/>
      <c r="Q283" s="117"/>
    </row>
    <row r="284" spans="12:17" x14ac:dyDescent="0.25">
      <c r="L284" s="31"/>
      <c r="M284" s="159"/>
      <c r="N284" s="159"/>
      <c r="O284" s="31"/>
      <c r="P284" s="36"/>
      <c r="Q284" s="117"/>
    </row>
    <row r="285" spans="12:17" x14ac:dyDescent="0.25">
      <c r="L285" s="31"/>
      <c r="M285" s="159"/>
      <c r="N285" s="159"/>
      <c r="O285" s="31"/>
      <c r="P285" s="36"/>
      <c r="Q285" s="117"/>
    </row>
    <row r="286" spans="12:17" x14ac:dyDescent="0.25">
      <c r="L286" s="31"/>
      <c r="M286" s="159"/>
      <c r="N286" s="159"/>
      <c r="O286" s="31"/>
      <c r="P286" s="36"/>
      <c r="Q286" s="117"/>
    </row>
    <row r="287" spans="12:17" x14ac:dyDescent="0.25">
      <c r="L287" s="31"/>
      <c r="M287" s="159"/>
      <c r="N287" s="159"/>
      <c r="O287" s="31"/>
      <c r="P287" s="36"/>
      <c r="Q287" s="117"/>
    </row>
    <row r="288" spans="12:17" x14ac:dyDescent="0.25">
      <c r="L288" s="31"/>
      <c r="M288" s="159"/>
      <c r="N288" s="159"/>
      <c r="O288" s="31"/>
      <c r="P288" s="36"/>
      <c r="Q288" s="117"/>
    </row>
    <row r="289" spans="12:17" x14ac:dyDescent="0.25">
      <c r="L289" s="31"/>
      <c r="M289" s="159"/>
      <c r="N289" s="159"/>
      <c r="O289" s="31"/>
      <c r="P289" s="36"/>
      <c r="Q289" s="117"/>
    </row>
    <row r="290" spans="12:17" x14ac:dyDescent="0.25">
      <c r="L290" s="31"/>
      <c r="M290" s="159"/>
      <c r="N290" s="159"/>
      <c r="O290" s="31"/>
      <c r="P290" s="36"/>
      <c r="Q290" s="117"/>
    </row>
    <row r="291" spans="12:17" x14ac:dyDescent="0.25">
      <c r="L291" s="31"/>
      <c r="M291" s="159"/>
      <c r="N291" s="159"/>
      <c r="O291" s="31"/>
      <c r="P291" s="36"/>
      <c r="Q291" s="117"/>
    </row>
    <row r="292" spans="12:17" x14ac:dyDescent="0.25">
      <c r="L292" s="31"/>
      <c r="M292" s="159"/>
      <c r="N292" s="159"/>
      <c r="O292" s="31"/>
      <c r="P292" s="36"/>
      <c r="Q292" s="117"/>
    </row>
    <row r="293" spans="12:17" x14ac:dyDescent="0.25">
      <c r="L293" s="31"/>
      <c r="M293" s="159"/>
      <c r="N293" s="159"/>
      <c r="O293" s="31"/>
      <c r="P293" s="36"/>
      <c r="Q293" s="117"/>
    </row>
    <row r="294" spans="12:17" x14ac:dyDescent="0.25">
      <c r="L294" s="31"/>
      <c r="M294" s="159"/>
      <c r="N294" s="159"/>
      <c r="O294" s="31"/>
      <c r="P294" s="36"/>
      <c r="Q294" s="117"/>
    </row>
    <row r="295" spans="12:17" x14ac:dyDescent="0.25">
      <c r="L295" s="31"/>
      <c r="M295" s="159"/>
      <c r="N295" s="159"/>
      <c r="O295" s="31"/>
      <c r="P295" s="36"/>
      <c r="Q295" s="117"/>
    </row>
    <row r="296" spans="12:17" x14ac:dyDescent="0.25">
      <c r="L296" s="31"/>
      <c r="M296" s="159"/>
      <c r="N296" s="159"/>
      <c r="O296" s="31"/>
      <c r="P296" s="36"/>
      <c r="Q296" s="117"/>
    </row>
    <row r="297" spans="12:17" x14ac:dyDescent="0.25">
      <c r="L297" s="31"/>
      <c r="M297" s="159"/>
      <c r="N297" s="159"/>
      <c r="O297" s="31"/>
      <c r="P297" s="36"/>
      <c r="Q297" s="117"/>
    </row>
    <row r="298" spans="12:17" x14ac:dyDescent="0.25">
      <c r="L298" s="31"/>
      <c r="M298" s="159"/>
      <c r="N298" s="159"/>
      <c r="O298" s="31"/>
      <c r="P298" s="36"/>
      <c r="Q298" s="117"/>
    </row>
    <row r="299" spans="12:17" x14ac:dyDescent="0.25">
      <c r="L299" s="31"/>
      <c r="M299" s="159"/>
      <c r="N299" s="159"/>
      <c r="O299" s="31"/>
      <c r="P299" s="36"/>
      <c r="Q299" s="117"/>
    </row>
    <row r="300" spans="12:17" x14ac:dyDescent="0.25">
      <c r="L300" s="31"/>
      <c r="M300" s="159"/>
      <c r="N300" s="159"/>
      <c r="O300" s="31"/>
      <c r="P300" s="36"/>
      <c r="Q300" s="117"/>
    </row>
    <row r="301" spans="12:17" x14ac:dyDescent="0.25">
      <c r="L301" s="31"/>
      <c r="M301" s="159"/>
      <c r="N301" s="159"/>
      <c r="O301" s="31"/>
      <c r="P301" s="36"/>
      <c r="Q301" s="117"/>
    </row>
    <row r="302" spans="12:17" x14ac:dyDescent="0.25">
      <c r="L302" s="31"/>
      <c r="M302" s="159"/>
      <c r="N302" s="159"/>
      <c r="O302" s="31"/>
      <c r="P302" s="36"/>
      <c r="Q302" s="117"/>
    </row>
    <row r="303" spans="12:17" x14ac:dyDescent="0.25">
      <c r="L303" s="31"/>
      <c r="M303" s="159"/>
      <c r="N303" s="159"/>
      <c r="O303" s="31"/>
      <c r="P303" s="36"/>
      <c r="Q303" s="117"/>
    </row>
    <row r="304" spans="12:17" x14ac:dyDescent="0.25">
      <c r="L304" s="31"/>
      <c r="M304" s="159"/>
      <c r="N304" s="159"/>
      <c r="O304" s="31"/>
      <c r="P304" s="36"/>
      <c r="Q304" s="117"/>
    </row>
    <row r="305" spans="12:17" x14ac:dyDescent="0.25">
      <c r="L305" s="31"/>
      <c r="M305" s="159"/>
      <c r="N305" s="159"/>
      <c r="O305" s="31"/>
      <c r="P305" s="36"/>
      <c r="Q305" s="117"/>
    </row>
    <row r="306" spans="12:17" x14ac:dyDescent="0.25">
      <c r="L306" s="31"/>
      <c r="M306" s="159"/>
      <c r="N306" s="159"/>
      <c r="O306" s="31"/>
      <c r="P306" s="36"/>
      <c r="Q306" s="117"/>
    </row>
    <row r="307" spans="12:17" x14ac:dyDescent="0.25">
      <c r="L307" s="31"/>
      <c r="M307" s="159"/>
      <c r="N307" s="159"/>
      <c r="O307" s="31"/>
      <c r="P307" s="36"/>
      <c r="Q307" s="117"/>
    </row>
    <row r="308" spans="12:17" x14ac:dyDescent="0.25">
      <c r="L308" s="31"/>
      <c r="M308" s="159"/>
      <c r="N308" s="159"/>
      <c r="O308" s="31"/>
      <c r="P308" s="36"/>
      <c r="Q308" s="117"/>
    </row>
    <row r="309" spans="12:17" x14ac:dyDescent="0.25">
      <c r="L309" s="31"/>
      <c r="M309" s="159"/>
      <c r="N309" s="159"/>
      <c r="O309" s="31"/>
      <c r="P309" s="36"/>
      <c r="Q309" s="117"/>
    </row>
    <row r="310" spans="12:17" x14ac:dyDescent="0.25">
      <c r="L310" s="31"/>
      <c r="M310" s="159"/>
      <c r="N310" s="159"/>
      <c r="O310" s="31"/>
      <c r="P310" s="36"/>
      <c r="Q310" s="117"/>
    </row>
    <row r="311" spans="12:17" x14ac:dyDescent="0.25">
      <c r="L311" s="31"/>
      <c r="M311" s="159"/>
      <c r="N311" s="159"/>
      <c r="O311" s="31"/>
      <c r="P311" s="36"/>
      <c r="Q311" s="117"/>
    </row>
    <row r="312" spans="12:17" x14ac:dyDescent="0.25">
      <c r="L312" s="31"/>
      <c r="M312" s="159"/>
      <c r="N312" s="159"/>
      <c r="O312" s="31"/>
      <c r="P312" s="36"/>
      <c r="Q312" s="117"/>
    </row>
    <row r="313" spans="12:17" x14ac:dyDescent="0.25">
      <c r="L313" s="31"/>
      <c r="M313" s="159"/>
      <c r="N313" s="159"/>
      <c r="O313" s="31"/>
      <c r="P313" s="36"/>
      <c r="Q313" s="117"/>
    </row>
    <row r="314" spans="12:17" x14ac:dyDescent="0.25">
      <c r="L314" s="31"/>
      <c r="M314" s="159"/>
      <c r="N314" s="159"/>
      <c r="O314" s="31"/>
      <c r="P314" s="36"/>
      <c r="Q314" s="117"/>
    </row>
    <row r="315" spans="12:17" x14ac:dyDescent="0.25">
      <c r="L315" s="31"/>
      <c r="M315" s="159"/>
      <c r="N315" s="159"/>
      <c r="O315" s="31"/>
      <c r="P315" s="36"/>
      <c r="Q315" s="117"/>
    </row>
    <row r="316" spans="12:17" x14ac:dyDescent="0.25">
      <c r="L316" s="31"/>
      <c r="M316" s="159"/>
      <c r="N316" s="159"/>
      <c r="O316" s="31"/>
      <c r="P316" s="36"/>
      <c r="Q316" s="117"/>
    </row>
    <row r="317" spans="12:17" x14ac:dyDescent="0.25">
      <c r="L317" s="31"/>
      <c r="M317" s="159"/>
      <c r="N317" s="159"/>
      <c r="O317" s="31"/>
      <c r="P317" s="36"/>
      <c r="Q317" s="117"/>
    </row>
    <row r="318" spans="12:17" x14ac:dyDescent="0.25">
      <c r="L318" s="31"/>
      <c r="M318" s="159"/>
      <c r="N318" s="159"/>
      <c r="O318" s="31"/>
      <c r="P318" s="36"/>
      <c r="Q318" s="117"/>
    </row>
    <row r="319" spans="12:17" x14ac:dyDescent="0.25">
      <c r="L319" s="31"/>
      <c r="M319" s="159"/>
      <c r="N319" s="159"/>
      <c r="O319" s="31"/>
      <c r="P319" s="36"/>
      <c r="Q319" s="117"/>
    </row>
    <row r="320" spans="12:17" x14ac:dyDescent="0.25">
      <c r="L320" s="31"/>
      <c r="M320" s="159"/>
      <c r="N320" s="159"/>
      <c r="O320" s="31"/>
      <c r="P320" s="36"/>
      <c r="Q320" s="117"/>
    </row>
    <row r="321" spans="12:17" x14ac:dyDescent="0.25">
      <c r="L321" s="31"/>
      <c r="M321" s="159"/>
      <c r="N321" s="159"/>
      <c r="O321" s="31"/>
      <c r="P321" s="36"/>
      <c r="Q321" s="117"/>
    </row>
    <row r="322" spans="12:17" x14ac:dyDescent="0.25">
      <c r="L322" s="31"/>
      <c r="M322" s="159"/>
      <c r="N322" s="159"/>
      <c r="O322" s="31"/>
      <c r="P322" s="36"/>
      <c r="Q322" s="117"/>
    </row>
    <row r="323" spans="12:17" x14ac:dyDescent="0.25">
      <c r="L323" s="31"/>
      <c r="M323" s="159"/>
      <c r="N323" s="159"/>
      <c r="O323" s="31"/>
      <c r="P323" s="36"/>
      <c r="Q323" s="117"/>
    </row>
    <row r="324" spans="12:17" x14ac:dyDescent="0.25">
      <c r="L324" s="31"/>
      <c r="M324" s="159"/>
      <c r="N324" s="159"/>
      <c r="O324" s="31"/>
      <c r="P324" s="36"/>
      <c r="Q324" s="117"/>
    </row>
    <row r="325" spans="12:17" x14ac:dyDescent="0.25">
      <c r="L325" s="31"/>
      <c r="M325" s="159"/>
      <c r="N325" s="159"/>
      <c r="O325" s="31"/>
      <c r="P325" s="36"/>
      <c r="Q325" s="117"/>
    </row>
    <row r="326" spans="12:17" x14ac:dyDescent="0.25">
      <c r="L326" s="31"/>
      <c r="M326" s="159"/>
      <c r="N326" s="159"/>
      <c r="O326" s="31"/>
      <c r="P326" s="36"/>
      <c r="Q326" s="117"/>
    </row>
    <row r="327" spans="12:17" x14ac:dyDescent="0.25">
      <c r="L327" s="31"/>
      <c r="M327" s="159"/>
      <c r="N327" s="159"/>
      <c r="O327" s="31"/>
      <c r="P327" s="36"/>
      <c r="Q327" s="117"/>
    </row>
    <row r="328" spans="12:17" x14ac:dyDescent="0.25">
      <c r="L328" s="31"/>
      <c r="M328" s="159"/>
      <c r="N328" s="159"/>
      <c r="O328" s="31"/>
      <c r="P328" s="36"/>
      <c r="Q328" s="117"/>
    </row>
    <row r="329" spans="12:17" x14ac:dyDescent="0.25">
      <c r="L329" s="31"/>
      <c r="M329" s="159"/>
      <c r="N329" s="159"/>
      <c r="O329" s="31"/>
      <c r="P329" s="36"/>
      <c r="Q329" s="117"/>
    </row>
    <row r="330" spans="12:17" x14ac:dyDescent="0.25">
      <c r="L330" s="31"/>
      <c r="M330" s="159"/>
      <c r="N330" s="159"/>
      <c r="O330" s="31"/>
      <c r="P330" s="36"/>
      <c r="Q330" s="117"/>
    </row>
    <row r="331" spans="12:17" x14ac:dyDescent="0.25">
      <c r="L331" s="31"/>
      <c r="M331" s="159"/>
      <c r="N331" s="159"/>
      <c r="O331" s="31"/>
      <c r="P331" s="36"/>
      <c r="Q331" s="117"/>
    </row>
    <row r="332" spans="12:17" x14ac:dyDescent="0.25">
      <c r="L332" s="31"/>
      <c r="M332" s="159"/>
      <c r="N332" s="159"/>
      <c r="O332" s="31"/>
      <c r="P332" s="36"/>
      <c r="Q332" s="117"/>
    </row>
    <row r="333" spans="12:17" x14ac:dyDescent="0.25">
      <c r="L333" s="31"/>
      <c r="M333" s="159"/>
      <c r="N333" s="159"/>
      <c r="O333" s="31"/>
      <c r="P333" s="36"/>
      <c r="Q333" s="117"/>
    </row>
    <row r="334" spans="12:17" x14ac:dyDescent="0.25">
      <c r="L334" s="31"/>
      <c r="M334" s="159"/>
      <c r="N334" s="159"/>
      <c r="O334" s="31"/>
      <c r="P334" s="36"/>
      <c r="Q334" s="117"/>
    </row>
    <row r="335" spans="12:17" x14ac:dyDescent="0.25">
      <c r="L335" s="31"/>
      <c r="M335" s="159"/>
      <c r="N335" s="159"/>
      <c r="O335" s="31"/>
      <c r="P335" s="36"/>
      <c r="Q335" s="117"/>
    </row>
    <row r="336" spans="12:17" x14ac:dyDescent="0.25">
      <c r="L336" s="31"/>
      <c r="M336" s="159"/>
      <c r="N336" s="159"/>
      <c r="O336" s="31"/>
      <c r="P336" s="36"/>
      <c r="Q336" s="117"/>
    </row>
    <row r="337" spans="12:17" x14ac:dyDescent="0.25">
      <c r="L337" s="31"/>
      <c r="M337" s="159"/>
      <c r="N337" s="159"/>
      <c r="O337" s="31"/>
      <c r="P337" s="36"/>
      <c r="Q337" s="117"/>
    </row>
    <row r="338" spans="12:17" x14ac:dyDescent="0.25">
      <c r="L338" s="31"/>
      <c r="M338" s="159"/>
      <c r="N338" s="159"/>
      <c r="O338" s="31"/>
      <c r="P338" s="36"/>
      <c r="Q338" s="117"/>
    </row>
    <row r="339" spans="12:17" x14ac:dyDescent="0.25">
      <c r="L339" s="31"/>
      <c r="M339" s="159"/>
      <c r="N339" s="159"/>
      <c r="O339" s="31"/>
      <c r="P339" s="36"/>
      <c r="Q339" s="117"/>
    </row>
    <row r="340" spans="12:17" x14ac:dyDescent="0.25">
      <c r="L340" s="31"/>
      <c r="M340" s="159"/>
      <c r="N340" s="159"/>
      <c r="O340" s="31"/>
      <c r="P340" s="36"/>
      <c r="Q340" s="117"/>
    </row>
    <row r="341" spans="12:17" x14ac:dyDescent="0.25">
      <c r="L341" s="31"/>
      <c r="M341" s="159"/>
      <c r="N341" s="159"/>
      <c r="O341" s="31"/>
      <c r="P341" s="36"/>
      <c r="Q341" s="117"/>
    </row>
    <row r="342" spans="12:17" x14ac:dyDescent="0.25">
      <c r="L342" s="31"/>
      <c r="M342" s="159"/>
      <c r="N342" s="159"/>
      <c r="O342" s="31"/>
      <c r="P342" s="36"/>
      <c r="Q342" s="117"/>
    </row>
    <row r="343" spans="12:17" x14ac:dyDescent="0.25">
      <c r="L343" s="31"/>
      <c r="M343" s="159"/>
      <c r="N343" s="159"/>
      <c r="O343" s="31"/>
      <c r="P343" s="36"/>
      <c r="Q343" s="117"/>
    </row>
    <row r="344" spans="12:17" x14ac:dyDescent="0.25">
      <c r="L344" s="31"/>
      <c r="M344" s="159"/>
      <c r="N344" s="159"/>
      <c r="O344" s="31"/>
      <c r="P344" s="36"/>
      <c r="Q344" s="117"/>
    </row>
    <row r="345" spans="12:17" x14ac:dyDescent="0.25">
      <c r="L345" s="31"/>
      <c r="M345" s="159"/>
      <c r="N345" s="159"/>
      <c r="O345" s="31"/>
      <c r="P345" s="36"/>
      <c r="Q345" s="117"/>
    </row>
    <row r="346" spans="12:17" x14ac:dyDescent="0.25">
      <c r="L346" s="31"/>
      <c r="M346" s="159"/>
      <c r="N346" s="159"/>
      <c r="O346" s="31"/>
      <c r="P346" s="36"/>
      <c r="Q346" s="117"/>
    </row>
    <row r="347" spans="12:17" x14ac:dyDescent="0.25">
      <c r="L347" s="31"/>
      <c r="M347" s="159"/>
      <c r="N347" s="159"/>
      <c r="O347" s="31"/>
      <c r="P347" s="36"/>
      <c r="Q347" s="117"/>
    </row>
    <row r="348" spans="12:17" x14ac:dyDescent="0.25">
      <c r="L348" s="31"/>
      <c r="M348" s="159"/>
      <c r="N348" s="159"/>
      <c r="O348" s="31"/>
      <c r="P348" s="36"/>
      <c r="Q348" s="117"/>
    </row>
    <row r="349" spans="12:17" x14ac:dyDescent="0.25">
      <c r="L349" s="31"/>
      <c r="M349" s="159"/>
      <c r="N349" s="159"/>
      <c r="O349" s="31"/>
      <c r="P349" s="36"/>
      <c r="Q349" s="117"/>
    </row>
    <row r="350" spans="12:17" x14ac:dyDescent="0.25">
      <c r="L350" s="31"/>
      <c r="M350" s="159"/>
      <c r="N350" s="159"/>
      <c r="O350" s="31"/>
      <c r="P350" s="36"/>
      <c r="Q350" s="117"/>
    </row>
    <row r="351" spans="12:17" x14ac:dyDescent="0.25">
      <c r="L351" s="31"/>
      <c r="M351" s="159"/>
      <c r="N351" s="159"/>
      <c r="O351" s="31"/>
      <c r="P351" s="36"/>
      <c r="Q351" s="117"/>
    </row>
    <row r="352" spans="12:17" x14ac:dyDescent="0.25">
      <c r="L352" s="31"/>
      <c r="M352" s="159"/>
      <c r="N352" s="159"/>
      <c r="O352" s="31"/>
      <c r="P352" s="36"/>
      <c r="Q352" s="117"/>
    </row>
    <row r="353" spans="12:17" x14ac:dyDescent="0.25">
      <c r="L353" s="31"/>
      <c r="M353" s="159"/>
      <c r="N353" s="159"/>
      <c r="O353" s="31"/>
      <c r="P353" s="36"/>
      <c r="Q353" s="117"/>
    </row>
    <row r="354" spans="12:17" x14ac:dyDescent="0.25">
      <c r="L354" s="31"/>
      <c r="M354" s="159"/>
      <c r="N354" s="159"/>
      <c r="O354" s="31"/>
      <c r="P354" s="36"/>
      <c r="Q354" s="117"/>
    </row>
    <row r="355" spans="12:17" x14ac:dyDescent="0.25">
      <c r="L355" s="31"/>
      <c r="M355" s="159"/>
      <c r="N355" s="159"/>
      <c r="O355" s="31"/>
      <c r="P355" s="36"/>
      <c r="Q355" s="117"/>
    </row>
    <row r="356" spans="12:17" x14ac:dyDescent="0.25">
      <c r="L356" s="31"/>
      <c r="M356" s="159"/>
      <c r="N356" s="159"/>
      <c r="O356" s="31"/>
      <c r="P356" s="36"/>
      <c r="Q356" s="117"/>
    </row>
    <row r="357" spans="12:17" x14ac:dyDescent="0.25">
      <c r="L357" s="31"/>
      <c r="M357" s="159"/>
      <c r="N357" s="159"/>
      <c r="O357" s="31"/>
      <c r="P357" s="36"/>
      <c r="Q357" s="117"/>
    </row>
    <row r="358" spans="12:17" x14ac:dyDescent="0.25">
      <c r="L358" s="31"/>
      <c r="M358" s="159"/>
      <c r="N358" s="159"/>
      <c r="O358" s="31"/>
      <c r="P358" s="36"/>
      <c r="Q358" s="117"/>
    </row>
    <row r="359" spans="12:17" x14ac:dyDescent="0.25">
      <c r="L359" s="31"/>
      <c r="M359" s="159"/>
      <c r="N359" s="159"/>
      <c r="O359" s="31"/>
      <c r="P359" s="36"/>
      <c r="Q359" s="117"/>
    </row>
    <row r="360" spans="12:17" x14ac:dyDescent="0.25">
      <c r="L360" s="31"/>
      <c r="M360" s="159"/>
      <c r="N360" s="159"/>
      <c r="O360" s="31"/>
      <c r="P360" s="36"/>
      <c r="Q360" s="117"/>
    </row>
    <row r="361" spans="12:17" x14ac:dyDescent="0.25">
      <c r="L361" s="31"/>
      <c r="M361" s="159"/>
      <c r="N361" s="159"/>
      <c r="O361" s="31"/>
      <c r="P361" s="36"/>
      <c r="Q361" s="117"/>
    </row>
    <row r="362" spans="12:17" x14ac:dyDescent="0.25">
      <c r="L362" s="31"/>
      <c r="M362" s="159"/>
      <c r="N362" s="159"/>
      <c r="O362" s="31"/>
      <c r="P362" s="36"/>
      <c r="Q362" s="117"/>
    </row>
    <row r="363" spans="12:17" x14ac:dyDescent="0.25">
      <c r="L363" s="31"/>
      <c r="M363" s="159"/>
      <c r="N363" s="159"/>
      <c r="O363" s="31"/>
      <c r="P363" s="36"/>
      <c r="Q363" s="117"/>
    </row>
    <row r="364" spans="12:17" x14ac:dyDescent="0.25">
      <c r="L364" s="31"/>
      <c r="M364" s="159"/>
      <c r="N364" s="159"/>
      <c r="O364" s="31"/>
      <c r="P364" s="36"/>
      <c r="Q364" s="117"/>
    </row>
    <row r="365" spans="12:17" x14ac:dyDescent="0.25">
      <c r="L365" s="31"/>
      <c r="M365" s="159"/>
      <c r="N365" s="159"/>
      <c r="O365" s="31"/>
      <c r="P365" s="36"/>
      <c r="Q365" s="117"/>
    </row>
    <row r="366" spans="12:17" x14ac:dyDescent="0.25">
      <c r="L366" s="31"/>
      <c r="M366" s="159"/>
      <c r="N366" s="159"/>
      <c r="O366" s="31"/>
      <c r="P366" s="36"/>
      <c r="Q366" s="117"/>
    </row>
    <row r="367" spans="12:17" x14ac:dyDescent="0.25">
      <c r="L367" s="31"/>
      <c r="M367" s="159"/>
      <c r="N367" s="159"/>
      <c r="O367" s="31"/>
      <c r="P367" s="36"/>
      <c r="Q367" s="117"/>
    </row>
    <row r="368" spans="12:17" x14ac:dyDescent="0.25">
      <c r="L368" s="31"/>
      <c r="M368" s="159"/>
      <c r="N368" s="159"/>
      <c r="O368" s="31"/>
      <c r="P368" s="36"/>
      <c r="Q368" s="117"/>
    </row>
    <row r="369" spans="12:17" x14ac:dyDescent="0.25">
      <c r="L369" s="31"/>
      <c r="M369" s="159"/>
      <c r="N369" s="159"/>
      <c r="O369" s="31"/>
      <c r="P369" s="36"/>
      <c r="Q369" s="117"/>
    </row>
    <row r="370" spans="12:17" x14ac:dyDescent="0.25">
      <c r="L370" s="31"/>
      <c r="M370" s="159"/>
      <c r="N370" s="159"/>
      <c r="O370" s="31"/>
      <c r="P370" s="36"/>
      <c r="Q370" s="117"/>
    </row>
    <row r="371" spans="12:17" x14ac:dyDescent="0.25">
      <c r="L371" s="31"/>
      <c r="M371" s="159"/>
      <c r="N371" s="159"/>
      <c r="O371" s="31"/>
      <c r="P371" s="36"/>
      <c r="Q371" s="117"/>
    </row>
    <row r="372" spans="12:17" x14ac:dyDescent="0.25">
      <c r="L372" s="31"/>
      <c r="M372" s="159"/>
      <c r="N372" s="159"/>
      <c r="O372" s="31"/>
      <c r="P372" s="36"/>
      <c r="Q372" s="117"/>
    </row>
    <row r="373" spans="12:17" x14ac:dyDescent="0.25">
      <c r="L373" s="31"/>
      <c r="M373" s="159"/>
      <c r="N373" s="159"/>
      <c r="O373" s="31"/>
      <c r="P373" s="36"/>
      <c r="Q373" s="117"/>
    </row>
    <row r="374" spans="12:17" x14ac:dyDescent="0.25">
      <c r="L374" s="31"/>
      <c r="M374" s="159"/>
      <c r="N374" s="159"/>
      <c r="O374" s="31"/>
      <c r="P374" s="36"/>
      <c r="Q374" s="117"/>
    </row>
    <row r="375" spans="12:17" x14ac:dyDescent="0.25">
      <c r="L375" s="31"/>
      <c r="M375" s="159"/>
      <c r="N375" s="159"/>
      <c r="O375" s="31"/>
      <c r="P375" s="36"/>
      <c r="Q375" s="117"/>
    </row>
    <row r="376" spans="12:17" x14ac:dyDescent="0.25">
      <c r="L376" s="31"/>
      <c r="M376" s="159"/>
      <c r="N376" s="159"/>
      <c r="O376" s="31"/>
      <c r="P376" s="36"/>
      <c r="Q376" s="117"/>
    </row>
    <row r="377" spans="12:17" x14ac:dyDescent="0.25">
      <c r="L377" s="31"/>
      <c r="M377" s="159"/>
      <c r="N377" s="159"/>
      <c r="O377" s="31"/>
      <c r="P377" s="36"/>
      <c r="Q377" s="117"/>
    </row>
    <row r="378" spans="12:17" x14ac:dyDescent="0.25">
      <c r="L378" s="31"/>
      <c r="M378" s="159"/>
      <c r="N378" s="159"/>
      <c r="O378" s="31"/>
      <c r="P378" s="36"/>
      <c r="Q378" s="117"/>
    </row>
    <row r="379" spans="12:17" x14ac:dyDescent="0.25">
      <c r="L379" s="31"/>
      <c r="M379" s="159"/>
      <c r="N379" s="159"/>
      <c r="O379" s="31"/>
      <c r="P379" s="36"/>
      <c r="Q379" s="117"/>
    </row>
    <row r="380" spans="12:17" x14ac:dyDescent="0.25">
      <c r="L380" s="31"/>
      <c r="M380" s="159"/>
      <c r="N380" s="159"/>
      <c r="O380" s="31"/>
      <c r="P380" s="36"/>
      <c r="Q380" s="117"/>
    </row>
    <row r="381" spans="12:17" x14ac:dyDescent="0.25">
      <c r="L381" s="31"/>
      <c r="M381" s="159"/>
      <c r="N381" s="159"/>
      <c r="O381" s="31"/>
      <c r="P381" s="36"/>
      <c r="Q381" s="117"/>
    </row>
    <row r="382" spans="12:17" x14ac:dyDescent="0.25">
      <c r="L382" s="31"/>
      <c r="M382" s="159"/>
      <c r="N382" s="159"/>
      <c r="O382" s="31"/>
      <c r="P382" s="36"/>
      <c r="Q382" s="117"/>
    </row>
    <row r="383" spans="12:17" x14ac:dyDescent="0.25">
      <c r="L383" s="31"/>
      <c r="M383" s="159"/>
      <c r="N383" s="159"/>
      <c r="O383" s="31"/>
      <c r="P383" s="36"/>
      <c r="Q383" s="117"/>
    </row>
    <row r="384" spans="12:17" x14ac:dyDescent="0.25">
      <c r="L384" s="31"/>
      <c r="M384" s="159"/>
      <c r="N384" s="159"/>
      <c r="O384" s="31"/>
      <c r="P384" s="36"/>
      <c r="Q384" s="117"/>
    </row>
    <row r="385" spans="12:17" x14ac:dyDescent="0.25">
      <c r="L385" s="31"/>
      <c r="M385" s="159"/>
      <c r="N385" s="159"/>
      <c r="O385" s="31"/>
      <c r="P385" s="36"/>
      <c r="Q385" s="117"/>
    </row>
    <row r="386" spans="12:17" x14ac:dyDescent="0.25">
      <c r="L386" s="31"/>
      <c r="M386" s="159"/>
      <c r="N386" s="159"/>
      <c r="O386" s="31"/>
      <c r="P386" s="36"/>
      <c r="Q386" s="117"/>
    </row>
    <row r="387" spans="12:17" x14ac:dyDescent="0.25">
      <c r="L387" s="31"/>
      <c r="M387" s="159"/>
      <c r="N387" s="159"/>
      <c r="O387" s="31"/>
      <c r="P387" s="36"/>
      <c r="Q387" s="117"/>
    </row>
    <row r="388" spans="12:17" x14ac:dyDescent="0.25">
      <c r="L388" s="31"/>
      <c r="M388" s="159"/>
      <c r="N388" s="159"/>
      <c r="O388" s="31"/>
      <c r="P388" s="36"/>
      <c r="Q388" s="117"/>
    </row>
    <row r="389" spans="12:17" x14ac:dyDescent="0.25">
      <c r="L389" s="31"/>
      <c r="M389" s="159"/>
      <c r="N389" s="159"/>
      <c r="O389" s="31"/>
      <c r="P389" s="36"/>
      <c r="Q389" s="117"/>
    </row>
    <row r="390" spans="12:17" x14ac:dyDescent="0.25">
      <c r="L390" s="31"/>
      <c r="M390" s="159"/>
      <c r="N390" s="159"/>
      <c r="O390" s="31"/>
      <c r="P390" s="36"/>
      <c r="Q390" s="117"/>
    </row>
    <row r="391" spans="12:17" x14ac:dyDescent="0.25">
      <c r="L391" s="31"/>
      <c r="M391" s="159"/>
      <c r="N391" s="159"/>
      <c r="O391" s="31"/>
      <c r="P391" s="36"/>
      <c r="Q391" s="117"/>
    </row>
    <row r="392" spans="12:17" x14ac:dyDescent="0.25">
      <c r="L392" s="31"/>
      <c r="M392" s="159"/>
      <c r="N392" s="159"/>
      <c r="O392" s="31"/>
      <c r="P392" s="36"/>
      <c r="Q392" s="117"/>
    </row>
    <row r="393" spans="12:17" x14ac:dyDescent="0.25">
      <c r="L393" s="31"/>
      <c r="M393" s="159"/>
      <c r="N393" s="159"/>
      <c r="O393" s="31"/>
      <c r="P393" s="36"/>
      <c r="Q393" s="117"/>
    </row>
    <row r="394" spans="12:17" x14ac:dyDescent="0.25">
      <c r="L394" s="31"/>
      <c r="M394" s="159"/>
      <c r="N394" s="159"/>
      <c r="O394" s="31"/>
      <c r="P394" s="36"/>
      <c r="Q394" s="117"/>
    </row>
    <row r="395" spans="12:17" x14ac:dyDescent="0.25">
      <c r="L395" s="31"/>
      <c r="M395" s="159"/>
      <c r="N395" s="159"/>
      <c r="O395" s="31"/>
      <c r="P395" s="36"/>
      <c r="Q395" s="117"/>
    </row>
    <row r="396" spans="12:17" x14ac:dyDescent="0.25">
      <c r="L396" s="31"/>
      <c r="M396" s="159"/>
      <c r="N396" s="159"/>
      <c r="O396" s="31"/>
      <c r="P396" s="36"/>
      <c r="Q396" s="117"/>
    </row>
    <row r="397" spans="12:17" x14ac:dyDescent="0.25">
      <c r="L397" s="31"/>
      <c r="M397" s="159"/>
      <c r="N397" s="159"/>
      <c r="O397" s="31"/>
      <c r="P397" s="36"/>
      <c r="Q397" s="117"/>
    </row>
    <row r="398" spans="12:17" x14ac:dyDescent="0.25">
      <c r="L398" s="31"/>
      <c r="M398" s="159"/>
      <c r="N398" s="159"/>
      <c r="O398" s="31"/>
      <c r="P398" s="36"/>
      <c r="Q398" s="117"/>
    </row>
    <row r="399" spans="12:17" x14ac:dyDescent="0.25">
      <c r="L399" s="31"/>
      <c r="M399" s="159"/>
      <c r="N399" s="159"/>
      <c r="O399" s="31"/>
      <c r="P399" s="36"/>
      <c r="Q399" s="117"/>
    </row>
    <row r="400" spans="12:17" x14ac:dyDescent="0.25">
      <c r="L400" s="31"/>
      <c r="M400" s="159"/>
      <c r="N400" s="159"/>
      <c r="O400" s="31"/>
      <c r="P400" s="36"/>
      <c r="Q400" s="117"/>
    </row>
    <row r="401" spans="12:17" x14ac:dyDescent="0.25">
      <c r="L401" s="31"/>
      <c r="M401" s="159"/>
      <c r="N401" s="159"/>
      <c r="O401" s="31"/>
      <c r="P401" s="36"/>
      <c r="Q401" s="117"/>
    </row>
    <row r="402" spans="12:17" x14ac:dyDescent="0.25">
      <c r="L402" s="31"/>
      <c r="M402" s="159"/>
      <c r="N402" s="159"/>
      <c r="O402" s="31"/>
      <c r="P402" s="36"/>
      <c r="Q402" s="117"/>
    </row>
    <row r="403" spans="12:17" x14ac:dyDescent="0.25">
      <c r="L403" s="31"/>
      <c r="M403" s="159"/>
      <c r="N403" s="159"/>
      <c r="O403" s="31"/>
      <c r="P403" s="36"/>
      <c r="Q403" s="117"/>
    </row>
    <row r="404" spans="12:17" x14ac:dyDescent="0.25">
      <c r="L404" s="31"/>
      <c r="M404" s="159"/>
      <c r="N404" s="159"/>
      <c r="O404" s="31"/>
      <c r="P404" s="36"/>
      <c r="Q404" s="117"/>
    </row>
    <row r="405" spans="12:17" x14ac:dyDescent="0.25">
      <c r="L405" s="31"/>
      <c r="M405" s="159"/>
      <c r="N405" s="159"/>
      <c r="O405" s="31"/>
      <c r="P405" s="36"/>
      <c r="Q405" s="117"/>
    </row>
    <row r="406" spans="12:17" x14ac:dyDescent="0.25">
      <c r="L406" s="31"/>
      <c r="M406" s="159"/>
      <c r="N406" s="159"/>
      <c r="O406" s="31"/>
      <c r="P406" s="36"/>
      <c r="Q406" s="117"/>
    </row>
    <row r="407" spans="12:17" x14ac:dyDescent="0.25">
      <c r="L407" s="31"/>
      <c r="M407" s="159"/>
      <c r="N407" s="159"/>
      <c r="O407" s="31"/>
      <c r="P407" s="36"/>
      <c r="Q407" s="117"/>
    </row>
    <row r="408" spans="12:17" x14ac:dyDescent="0.25">
      <c r="L408" s="31"/>
      <c r="M408" s="159"/>
      <c r="N408" s="159"/>
      <c r="O408" s="31"/>
      <c r="P408" s="36"/>
      <c r="Q408" s="117"/>
    </row>
    <row r="409" spans="12:17" x14ac:dyDescent="0.25">
      <c r="L409" s="31"/>
      <c r="M409" s="159"/>
      <c r="N409" s="159"/>
      <c r="O409" s="31"/>
      <c r="P409" s="36"/>
      <c r="Q409" s="117"/>
    </row>
    <row r="410" spans="12:17" x14ac:dyDescent="0.25">
      <c r="L410" s="31"/>
      <c r="M410" s="159"/>
      <c r="N410" s="159"/>
      <c r="O410" s="31"/>
      <c r="P410" s="36"/>
      <c r="Q410" s="117"/>
    </row>
    <row r="411" spans="12:17" x14ac:dyDescent="0.25">
      <c r="L411" s="31"/>
      <c r="M411" s="159"/>
      <c r="N411" s="159"/>
      <c r="O411" s="31"/>
      <c r="P411" s="36"/>
      <c r="Q411" s="117"/>
    </row>
    <row r="412" spans="12:17" x14ac:dyDescent="0.25">
      <c r="L412" s="31"/>
      <c r="M412" s="159"/>
      <c r="N412" s="159"/>
      <c r="O412" s="31"/>
      <c r="P412" s="36"/>
      <c r="Q412" s="117"/>
    </row>
    <row r="413" spans="12:17" x14ac:dyDescent="0.25">
      <c r="L413" s="31"/>
      <c r="M413" s="159"/>
      <c r="N413" s="159"/>
      <c r="O413" s="31"/>
      <c r="P413" s="36"/>
      <c r="Q413" s="117"/>
    </row>
    <row r="414" spans="12:17" x14ac:dyDescent="0.25">
      <c r="L414" s="31"/>
      <c r="M414" s="159"/>
      <c r="N414" s="159"/>
      <c r="O414" s="31"/>
      <c r="P414" s="36"/>
      <c r="Q414" s="117"/>
    </row>
    <row r="415" spans="12:17" x14ac:dyDescent="0.25">
      <c r="L415" s="31"/>
      <c r="M415" s="159"/>
      <c r="N415" s="159"/>
      <c r="O415" s="31"/>
      <c r="P415" s="36"/>
      <c r="Q415" s="117"/>
    </row>
    <row r="416" spans="12:17" x14ac:dyDescent="0.25">
      <c r="L416" s="31"/>
      <c r="M416" s="159"/>
      <c r="N416" s="159"/>
      <c r="O416" s="31"/>
      <c r="P416" s="36"/>
      <c r="Q416" s="117"/>
    </row>
    <row r="417" spans="12:17" x14ac:dyDescent="0.25">
      <c r="L417" s="31"/>
      <c r="M417" s="159"/>
      <c r="N417" s="159"/>
      <c r="O417" s="31"/>
      <c r="P417" s="36"/>
      <c r="Q417" s="117"/>
    </row>
    <row r="418" spans="12:17" x14ac:dyDescent="0.25">
      <c r="L418" s="31"/>
      <c r="M418" s="159"/>
      <c r="N418" s="159"/>
      <c r="O418" s="31"/>
      <c r="P418" s="36"/>
      <c r="Q418" s="117"/>
    </row>
    <row r="419" spans="12:17" x14ac:dyDescent="0.25">
      <c r="L419" s="31"/>
      <c r="M419" s="159"/>
      <c r="N419" s="159"/>
      <c r="O419" s="31"/>
      <c r="P419" s="36"/>
      <c r="Q419" s="117"/>
    </row>
    <row r="420" spans="12:17" x14ac:dyDescent="0.25">
      <c r="L420" s="31"/>
      <c r="M420" s="159"/>
      <c r="N420" s="159"/>
      <c r="O420" s="31"/>
      <c r="P420" s="36"/>
      <c r="Q420" s="117"/>
    </row>
    <row r="421" spans="12:17" x14ac:dyDescent="0.25">
      <c r="L421" s="31"/>
      <c r="M421" s="159"/>
      <c r="N421" s="159"/>
      <c r="O421" s="31"/>
      <c r="P421" s="36"/>
      <c r="Q421" s="117"/>
    </row>
    <row r="422" spans="12:17" x14ac:dyDescent="0.25">
      <c r="L422" s="31"/>
      <c r="M422" s="159"/>
      <c r="N422" s="159"/>
      <c r="O422" s="31"/>
      <c r="P422" s="36"/>
      <c r="Q422" s="117"/>
    </row>
    <row r="423" spans="12:17" x14ac:dyDescent="0.25">
      <c r="L423" s="31"/>
      <c r="M423" s="159"/>
      <c r="N423" s="159"/>
      <c r="O423" s="31"/>
      <c r="P423" s="36"/>
      <c r="Q423" s="117"/>
    </row>
    <row r="424" spans="12:17" x14ac:dyDescent="0.25">
      <c r="L424" s="31"/>
      <c r="M424" s="159"/>
      <c r="N424" s="159"/>
      <c r="O424" s="31"/>
      <c r="P424" s="36"/>
      <c r="Q424" s="117"/>
    </row>
    <row r="425" spans="12:17" x14ac:dyDescent="0.25">
      <c r="L425" s="31"/>
      <c r="M425" s="159"/>
      <c r="N425" s="159"/>
      <c r="O425" s="31"/>
      <c r="P425" s="36"/>
      <c r="Q425" s="117"/>
    </row>
    <row r="426" spans="12:17" x14ac:dyDescent="0.25">
      <c r="L426" s="31"/>
      <c r="M426" s="159"/>
      <c r="N426" s="159"/>
      <c r="O426" s="31"/>
      <c r="P426" s="36"/>
      <c r="Q426" s="117"/>
    </row>
    <row r="427" spans="12:17" x14ac:dyDescent="0.25">
      <c r="L427" s="31"/>
      <c r="M427" s="159"/>
      <c r="N427" s="159"/>
      <c r="O427" s="31"/>
      <c r="P427" s="36"/>
      <c r="Q427" s="117"/>
    </row>
    <row r="428" spans="12:17" x14ac:dyDescent="0.25">
      <c r="L428" s="31"/>
      <c r="M428" s="159"/>
      <c r="N428" s="159"/>
      <c r="O428" s="31"/>
      <c r="P428" s="36"/>
      <c r="Q428" s="117"/>
    </row>
    <row r="429" spans="12:17" x14ac:dyDescent="0.25">
      <c r="L429" s="31"/>
      <c r="M429" s="159"/>
      <c r="N429" s="159"/>
      <c r="O429" s="31"/>
      <c r="P429" s="36"/>
      <c r="Q429" s="117"/>
    </row>
    <row r="430" spans="12:17" x14ac:dyDescent="0.25">
      <c r="L430" s="31"/>
      <c r="M430" s="159"/>
      <c r="N430" s="159"/>
      <c r="O430" s="31"/>
      <c r="P430" s="36"/>
      <c r="Q430" s="117"/>
    </row>
    <row r="431" spans="12:17" x14ac:dyDescent="0.25">
      <c r="L431" s="31"/>
      <c r="M431" s="159"/>
      <c r="N431" s="159"/>
      <c r="O431" s="31"/>
      <c r="P431" s="36"/>
      <c r="Q431" s="117"/>
    </row>
    <row r="432" spans="12:17" x14ac:dyDescent="0.25">
      <c r="L432" s="31"/>
      <c r="M432" s="159"/>
      <c r="N432" s="159"/>
      <c r="O432" s="31"/>
      <c r="P432" s="36"/>
      <c r="Q432" s="117"/>
    </row>
    <row r="433" spans="12:17" x14ac:dyDescent="0.25">
      <c r="L433" s="31"/>
      <c r="M433" s="159"/>
      <c r="N433" s="159"/>
      <c r="O433" s="31"/>
      <c r="P433" s="36"/>
      <c r="Q433" s="117"/>
    </row>
    <row r="434" spans="12:17" x14ac:dyDescent="0.25">
      <c r="L434" s="31"/>
      <c r="M434" s="159"/>
      <c r="N434" s="159"/>
      <c r="O434" s="31"/>
      <c r="P434" s="36"/>
      <c r="Q434" s="117"/>
    </row>
    <row r="435" spans="12:17" x14ac:dyDescent="0.25">
      <c r="L435" s="31"/>
      <c r="M435" s="159"/>
      <c r="N435" s="159"/>
      <c r="O435" s="31"/>
      <c r="P435" s="36"/>
      <c r="Q435" s="117"/>
    </row>
    <row r="436" spans="12:17" x14ac:dyDescent="0.25">
      <c r="L436" s="31"/>
      <c r="M436" s="159"/>
      <c r="N436" s="159"/>
      <c r="O436" s="31"/>
      <c r="P436" s="36"/>
      <c r="Q436" s="117"/>
    </row>
    <row r="437" spans="12:17" x14ac:dyDescent="0.25">
      <c r="L437" s="31"/>
      <c r="M437" s="159"/>
      <c r="N437" s="159"/>
      <c r="O437" s="31"/>
      <c r="P437" s="36"/>
      <c r="Q437" s="117"/>
    </row>
    <row r="438" spans="12:17" x14ac:dyDescent="0.25">
      <c r="L438" s="31"/>
      <c r="M438" s="159"/>
      <c r="N438" s="159"/>
      <c r="O438" s="31"/>
      <c r="P438" s="36"/>
      <c r="Q438" s="117"/>
    </row>
    <row r="439" spans="12:17" x14ac:dyDescent="0.25">
      <c r="L439" s="31"/>
      <c r="M439" s="159"/>
      <c r="N439" s="159"/>
      <c r="O439" s="31"/>
      <c r="P439" s="36"/>
      <c r="Q439" s="117"/>
    </row>
    <row r="440" spans="12:17" x14ac:dyDescent="0.25">
      <c r="L440" s="31"/>
      <c r="M440" s="159"/>
      <c r="N440" s="159"/>
      <c r="O440" s="31"/>
      <c r="P440" s="36"/>
      <c r="Q440" s="117"/>
    </row>
    <row r="441" spans="12:17" x14ac:dyDescent="0.25">
      <c r="L441" s="31"/>
      <c r="M441" s="159"/>
      <c r="N441" s="159"/>
      <c r="O441" s="31"/>
      <c r="P441" s="36"/>
      <c r="Q441" s="117"/>
    </row>
    <row r="442" spans="12:17" x14ac:dyDescent="0.25">
      <c r="L442" s="31"/>
      <c r="M442" s="159"/>
      <c r="N442" s="159"/>
      <c r="O442" s="31"/>
      <c r="P442" s="36"/>
      <c r="Q442" s="117"/>
    </row>
    <row r="443" spans="12:17" x14ac:dyDescent="0.25">
      <c r="L443" s="31"/>
      <c r="M443" s="159"/>
      <c r="N443" s="159"/>
      <c r="O443" s="31"/>
      <c r="P443" s="36"/>
      <c r="Q443" s="117"/>
    </row>
    <row r="444" spans="12:17" x14ac:dyDescent="0.25">
      <c r="L444" s="31"/>
      <c r="M444" s="159"/>
      <c r="N444" s="159"/>
      <c r="O444" s="31"/>
      <c r="P444" s="36"/>
      <c r="Q444" s="117"/>
    </row>
    <row r="445" spans="12:17" x14ac:dyDescent="0.25">
      <c r="L445" s="31"/>
      <c r="M445" s="159"/>
      <c r="N445" s="159"/>
      <c r="O445" s="31"/>
      <c r="P445" s="36"/>
      <c r="Q445" s="117"/>
    </row>
    <row r="446" spans="12:17" x14ac:dyDescent="0.25">
      <c r="L446" s="31"/>
      <c r="M446" s="159"/>
      <c r="N446" s="159"/>
      <c r="O446" s="31"/>
      <c r="P446" s="36"/>
      <c r="Q446" s="117"/>
    </row>
    <row r="447" spans="12:17" x14ac:dyDescent="0.25">
      <c r="L447" s="31"/>
      <c r="M447" s="159"/>
      <c r="N447" s="159"/>
      <c r="O447" s="31"/>
      <c r="P447" s="36"/>
      <c r="Q447" s="117"/>
    </row>
    <row r="448" spans="12:17" x14ac:dyDescent="0.25">
      <c r="L448" s="31"/>
      <c r="M448" s="159"/>
      <c r="N448" s="159"/>
      <c r="O448" s="31"/>
      <c r="P448" s="36"/>
      <c r="Q448" s="117"/>
    </row>
    <row r="449" spans="12:17" x14ac:dyDescent="0.25">
      <c r="L449" s="31"/>
      <c r="M449" s="159"/>
      <c r="N449" s="159"/>
      <c r="O449" s="31"/>
      <c r="P449" s="36"/>
      <c r="Q449" s="117"/>
    </row>
    <row r="450" spans="12:17" x14ac:dyDescent="0.25">
      <c r="L450" s="31"/>
      <c r="M450" s="159"/>
      <c r="N450" s="159"/>
      <c r="O450" s="31"/>
      <c r="P450" s="36"/>
      <c r="Q450" s="117"/>
    </row>
    <row r="451" spans="12:17" x14ac:dyDescent="0.25">
      <c r="L451" s="31"/>
      <c r="M451" s="159"/>
      <c r="N451" s="159"/>
      <c r="O451" s="31"/>
      <c r="P451" s="36"/>
      <c r="Q451" s="117"/>
    </row>
    <row r="452" spans="12:17" x14ac:dyDescent="0.25">
      <c r="L452" s="31"/>
      <c r="M452" s="159"/>
      <c r="N452" s="159"/>
      <c r="O452" s="31"/>
      <c r="P452" s="36"/>
      <c r="Q452" s="117"/>
    </row>
    <row r="453" spans="12:17" x14ac:dyDescent="0.25">
      <c r="L453" s="31"/>
      <c r="M453" s="159"/>
      <c r="N453" s="159"/>
      <c r="O453" s="31"/>
      <c r="P453" s="36"/>
      <c r="Q453" s="117"/>
    </row>
    <row r="454" spans="12:17" x14ac:dyDescent="0.25">
      <c r="L454" s="31"/>
      <c r="M454" s="159"/>
      <c r="N454" s="159"/>
      <c r="O454" s="31"/>
      <c r="P454" s="36"/>
      <c r="Q454" s="117"/>
    </row>
    <row r="455" spans="12:17" x14ac:dyDescent="0.25">
      <c r="L455" s="31"/>
      <c r="M455" s="159"/>
      <c r="N455" s="159"/>
      <c r="O455" s="31"/>
      <c r="P455" s="36"/>
      <c r="Q455" s="117"/>
    </row>
    <row r="456" spans="12:17" x14ac:dyDescent="0.25">
      <c r="L456" s="31"/>
      <c r="M456" s="159"/>
      <c r="N456" s="159"/>
      <c r="O456" s="31"/>
      <c r="P456" s="36"/>
      <c r="Q456" s="117"/>
    </row>
    <row r="457" spans="12:17" x14ac:dyDescent="0.25">
      <c r="L457" s="31"/>
      <c r="M457" s="159"/>
      <c r="N457" s="159"/>
      <c r="O457" s="31"/>
      <c r="P457" s="36"/>
      <c r="Q457" s="117"/>
    </row>
    <row r="458" spans="12:17" x14ac:dyDescent="0.25">
      <c r="L458" s="31"/>
      <c r="M458" s="159"/>
      <c r="N458" s="159"/>
      <c r="O458" s="31"/>
      <c r="P458" s="36"/>
      <c r="Q458" s="117"/>
    </row>
    <row r="459" spans="12:17" x14ac:dyDescent="0.25">
      <c r="L459" s="31"/>
      <c r="M459" s="159"/>
      <c r="N459" s="159"/>
      <c r="O459" s="31"/>
      <c r="P459" s="36"/>
      <c r="Q459" s="117"/>
    </row>
    <row r="460" spans="12:17" x14ac:dyDescent="0.25">
      <c r="L460" s="31"/>
      <c r="M460" s="159"/>
      <c r="N460" s="159"/>
      <c r="O460" s="31"/>
      <c r="P460" s="36"/>
      <c r="Q460" s="117"/>
    </row>
    <row r="461" spans="12:17" x14ac:dyDescent="0.25">
      <c r="L461" s="31"/>
      <c r="M461" s="159"/>
      <c r="N461" s="159"/>
      <c r="O461" s="31"/>
      <c r="P461" s="36"/>
      <c r="Q461" s="117"/>
    </row>
    <row r="462" spans="12:17" x14ac:dyDescent="0.25">
      <c r="L462" s="31"/>
      <c r="M462" s="159"/>
      <c r="N462" s="159"/>
      <c r="O462" s="31"/>
      <c r="P462" s="36"/>
      <c r="Q462" s="117"/>
    </row>
    <row r="463" spans="12:17" x14ac:dyDescent="0.25">
      <c r="L463" s="31"/>
      <c r="M463" s="159"/>
      <c r="N463" s="159"/>
      <c r="O463" s="31"/>
      <c r="P463" s="36"/>
      <c r="Q463" s="117"/>
    </row>
    <row r="464" spans="12:17" x14ac:dyDescent="0.25">
      <c r="L464" s="31"/>
      <c r="M464" s="159"/>
      <c r="N464" s="159"/>
      <c r="O464" s="31"/>
      <c r="P464" s="36"/>
      <c r="Q464" s="117"/>
    </row>
    <row r="465" spans="12:17" x14ac:dyDescent="0.25">
      <c r="L465" s="31"/>
      <c r="M465" s="159"/>
      <c r="N465" s="159"/>
      <c r="O465" s="31"/>
      <c r="P465" s="36"/>
      <c r="Q465" s="117"/>
    </row>
    <row r="466" spans="12:17" x14ac:dyDescent="0.25">
      <c r="L466" s="31"/>
      <c r="M466" s="159"/>
      <c r="N466" s="159"/>
      <c r="O466" s="31"/>
      <c r="P466" s="36"/>
      <c r="Q466" s="117"/>
    </row>
    <row r="467" spans="12:17" x14ac:dyDescent="0.25">
      <c r="L467" s="31"/>
      <c r="M467" s="159"/>
      <c r="N467" s="159"/>
      <c r="O467" s="31"/>
      <c r="P467" s="36"/>
      <c r="Q467" s="117"/>
    </row>
    <row r="468" spans="12:17" x14ac:dyDescent="0.25">
      <c r="L468" s="31"/>
      <c r="M468" s="159"/>
      <c r="N468" s="159"/>
      <c r="O468" s="31"/>
      <c r="P468" s="36"/>
      <c r="Q468" s="117"/>
    </row>
    <row r="469" spans="12:17" x14ac:dyDescent="0.25">
      <c r="L469" s="31"/>
      <c r="M469" s="159"/>
      <c r="N469" s="159"/>
      <c r="O469" s="31"/>
      <c r="P469" s="36"/>
      <c r="Q469" s="117"/>
    </row>
    <row r="470" spans="12:17" x14ac:dyDescent="0.25">
      <c r="L470" s="31"/>
      <c r="M470" s="159"/>
      <c r="N470" s="159"/>
      <c r="O470" s="31"/>
      <c r="P470" s="36"/>
      <c r="Q470" s="117"/>
    </row>
    <row r="471" spans="12:17" x14ac:dyDescent="0.25">
      <c r="L471" s="31"/>
      <c r="M471" s="159"/>
      <c r="N471" s="159"/>
      <c r="O471" s="31"/>
      <c r="P471" s="36"/>
      <c r="Q471" s="117"/>
    </row>
    <row r="472" spans="12:17" x14ac:dyDescent="0.25">
      <c r="L472" s="31"/>
      <c r="M472" s="159"/>
      <c r="N472" s="159"/>
      <c r="O472" s="31"/>
      <c r="P472" s="36"/>
      <c r="Q472" s="117"/>
    </row>
    <row r="473" spans="12:17" x14ac:dyDescent="0.25">
      <c r="L473" s="31"/>
      <c r="M473" s="159"/>
      <c r="N473" s="159"/>
      <c r="O473" s="31"/>
      <c r="P473" s="36"/>
      <c r="Q473" s="117"/>
    </row>
    <row r="474" spans="12:17" x14ac:dyDescent="0.25">
      <c r="L474" s="31"/>
      <c r="M474" s="159"/>
      <c r="N474" s="159"/>
      <c r="O474" s="31"/>
      <c r="P474" s="36"/>
      <c r="Q474" s="117"/>
    </row>
    <row r="475" spans="12:17" x14ac:dyDescent="0.25">
      <c r="L475" s="31"/>
      <c r="M475" s="159"/>
      <c r="N475" s="159"/>
      <c r="O475" s="31"/>
      <c r="P475" s="36"/>
      <c r="Q475" s="117"/>
    </row>
    <row r="476" spans="12:17" x14ac:dyDescent="0.25">
      <c r="L476" s="31"/>
      <c r="M476" s="159"/>
      <c r="N476" s="159"/>
      <c r="O476" s="31"/>
      <c r="P476" s="36"/>
      <c r="Q476" s="117"/>
    </row>
    <row r="477" spans="12:17" x14ac:dyDescent="0.25">
      <c r="L477" s="31"/>
      <c r="M477" s="159"/>
      <c r="N477" s="159"/>
      <c r="O477" s="31"/>
      <c r="P477" s="36"/>
      <c r="Q477" s="117"/>
    </row>
    <row r="478" spans="12:17" x14ac:dyDescent="0.25">
      <c r="L478" s="31"/>
      <c r="M478" s="159"/>
      <c r="N478" s="159"/>
      <c r="O478" s="31"/>
      <c r="P478" s="36"/>
      <c r="Q478" s="117"/>
    </row>
    <row r="479" spans="12:17" x14ac:dyDescent="0.25">
      <c r="L479" s="31"/>
      <c r="M479" s="159"/>
      <c r="N479" s="159"/>
      <c r="O479" s="31"/>
      <c r="P479" s="36"/>
      <c r="Q479" s="117"/>
    </row>
    <row r="480" spans="12:17" x14ac:dyDescent="0.25">
      <c r="L480" s="31"/>
      <c r="M480" s="159"/>
      <c r="N480" s="159"/>
      <c r="O480" s="31"/>
      <c r="P480" s="36"/>
      <c r="Q480" s="117"/>
    </row>
    <row r="481" spans="12:17" x14ac:dyDescent="0.25">
      <c r="L481" s="31"/>
      <c r="M481" s="159"/>
      <c r="N481" s="159"/>
      <c r="O481" s="31"/>
      <c r="P481" s="36"/>
      <c r="Q481" s="117"/>
    </row>
    <row r="482" spans="12:17" x14ac:dyDescent="0.25">
      <c r="L482" s="31"/>
      <c r="M482" s="159"/>
      <c r="N482" s="159"/>
      <c r="O482" s="31"/>
      <c r="P482" s="36"/>
      <c r="Q482" s="117"/>
    </row>
    <row r="483" spans="12:17" x14ac:dyDescent="0.25">
      <c r="L483" s="31"/>
      <c r="M483" s="159"/>
      <c r="N483" s="159"/>
      <c r="O483" s="31"/>
      <c r="P483" s="36"/>
      <c r="Q483" s="117"/>
    </row>
    <row r="484" spans="12:17" x14ac:dyDescent="0.25">
      <c r="L484" s="31"/>
      <c r="M484" s="159"/>
      <c r="N484" s="159"/>
      <c r="O484" s="31"/>
      <c r="P484" s="36"/>
      <c r="Q484" s="117"/>
    </row>
    <row r="485" spans="12:17" x14ac:dyDescent="0.25">
      <c r="L485" s="31"/>
      <c r="M485" s="159"/>
      <c r="N485" s="159"/>
      <c r="O485" s="31"/>
      <c r="P485" s="36"/>
      <c r="Q485" s="117"/>
    </row>
    <row r="486" spans="12:17" x14ac:dyDescent="0.25">
      <c r="L486" s="31"/>
      <c r="M486" s="159"/>
      <c r="N486" s="159"/>
      <c r="O486" s="31"/>
      <c r="P486" s="36"/>
      <c r="Q486" s="117"/>
    </row>
    <row r="487" spans="12:17" x14ac:dyDescent="0.25">
      <c r="L487" s="31"/>
      <c r="M487" s="159"/>
      <c r="N487" s="159"/>
      <c r="O487" s="31"/>
      <c r="P487" s="36"/>
      <c r="Q487" s="117"/>
    </row>
    <row r="488" spans="12:17" x14ac:dyDescent="0.25">
      <c r="L488" s="31"/>
      <c r="M488" s="159"/>
      <c r="N488" s="159"/>
      <c r="O488" s="31"/>
      <c r="P488" s="36"/>
      <c r="Q488" s="117"/>
    </row>
    <row r="489" spans="12:17" x14ac:dyDescent="0.25">
      <c r="L489" s="31"/>
      <c r="M489" s="159"/>
      <c r="N489" s="159"/>
      <c r="O489" s="31"/>
      <c r="P489" s="36"/>
      <c r="Q489" s="117"/>
    </row>
    <row r="490" spans="12:17" x14ac:dyDescent="0.25">
      <c r="L490" s="31"/>
      <c r="M490" s="159"/>
      <c r="N490" s="159"/>
      <c r="O490" s="31"/>
      <c r="P490" s="36"/>
      <c r="Q490" s="117"/>
    </row>
    <row r="491" spans="12:17" x14ac:dyDescent="0.25">
      <c r="L491" s="31"/>
      <c r="M491" s="159"/>
      <c r="N491" s="159"/>
      <c r="O491" s="31"/>
      <c r="P491" s="36"/>
      <c r="Q491" s="117"/>
    </row>
    <row r="492" spans="12:17" x14ac:dyDescent="0.25">
      <c r="L492" s="31"/>
      <c r="M492" s="159"/>
      <c r="N492" s="159"/>
      <c r="O492" s="31"/>
      <c r="P492" s="36"/>
      <c r="Q492" s="117"/>
    </row>
    <row r="493" spans="12:17" x14ac:dyDescent="0.25">
      <c r="L493" s="31"/>
      <c r="M493" s="159"/>
      <c r="N493" s="159"/>
      <c r="O493" s="31"/>
      <c r="P493" s="36"/>
      <c r="Q493" s="117"/>
    </row>
    <row r="494" spans="12:17" x14ac:dyDescent="0.25">
      <c r="L494" s="31"/>
      <c r="M494" s="159"/>
      <c r="N494" s="159"/>
      <c r="O494" s="31"/>
      <c r="P494" s="36"/>
      <c r="Q494" s="117"/>
    </row>
    <row r="495" spans="12:17" x14ac:dyDescent="0.25">
      <c r="L495" s="31"/>
      <c r="M495" s="159"/>
      <c r="N495" s="159"/>
      <c r="O495" s="31"/>
      <c r="P495" s="36"/>
      <c r="Q495" s="117"/>
    </row>
    <row r="496" spans="12:17" x14ac:dyDescent="0.25">
      <c r="L496" s="31"/>
      <c r="M496" s="159"/>
      <c r="N496" s="159"/>
      <c r="O496" s="31"/>
      <c r="P496" s="36"/>
      <c r="Q496" s="117"/>
    </row>
    <row r="497" spans="12:17" x14ac:dyDescent="0.25">
      <c r="L497" s="31"/>
      <c r="M497" s="159"/>
      <c r="N497" s="159"/>
      <c r="O497" s="31"/>
      <c r="P497" s="36"/>
      <c r="Q497" s="117"/>
    </row>
    <row r="498" spans="12:17" x14ac:dyDescent="0.25">
      <c r="L498" s="31"/>
      <c r="M498" s="159"/>
      <c r="N498" s="159"/>
      <c r="O498" s="31"/>
      <c r="P498" s="36"/>
      <c r="Q498" s="117"/>
    </row>
    <row r="499" spans="12:17" x14ac:dyDescent="0.25">
      <c r="L499" s="31"/>
      <c r="M499" s="159"/>
      <c r="N499" s="159"/>
      <c r="O499" s="31"/>
      <c r="P499" s="36"/>
      <c r="Q499" s="117"/>
    </row>
    <row r="500" spans="12:17" x14ac:dyDescent="0.25">
      <c r="L500" s="31"/>
      <c r="M500" s="159"/>
      <c r="N500" s="159"/>
      <c r="O500" s="31"/>
      <c r="P500" s="36"/>
      <c r="Q500" s="117"/>
    </row>
    <row r="501" spans="12:17" x14ac:dyDescent="0.25">
      <c r="L501" s="31"/>
      <c r="M501" s="159"/>
      <c r="N501" s="159"/>
      <c r="O501" s="31"/>
      <c r="P501" s="36"/>
      <c r="Q501" s="117"/>
    </row>
    <row r="502" spans="12:17" x14ac:dyDescent="0.25">
      <c r="L502" s="31"/>
      <c r="M502" s="159"/>
      <c r="N502" s="159"/>
      <c r="O502" s="31"/>
      <c r="P502" s="36"/>
      <c r="Q502" s="117"/>
    </row>
    <row r="503" spans="12:17" x14ac:dyDescent="0.25">
      <c r="L503" s="31"/>
      <c r="M503" s="159"/>
      <c r="N503" s="159"/>
      <c r="O503" s="31"/>
      <c r="P503" s="36"/>
      <c r="Q503" s="117"/>
    </row>
    <row r="504" spans="12:17" x14ac:dyDescent="0.25">
      <c r="L504" s="31"/>
      <c r="M504" s="159"/>
      <c r="N504" s="159"/>
      <c r="O504" s="31"/>
      <c r="P504" s="36"/>
      <c r="Q504" s="117"/>
    </row>
    <row r="505" spans="12:17" x14ac:dyDescent="0.25">
      <c r="L505" s="31"/>
      <c r="M505" s="159"/>
      <c r="N505" s="159"/>
      <c r="O505" s="31"/>
      <c r="P505" s="36"/>
      <c r="Q505" s="117"/>
    </row>
    <row r="506" spans="12:17" x14ac:dyDescent="0.25">
      <c r="L506" s="31"/>
      <c r="M506" s="159"/>
      <c r="N506" s="159"/>
      <c r="O506" s="31"/>
      <c r="P506" s="36"/>
      <c r="Q506" s="117"/>
    </row>
    <row r="507" spans="12:17" x14ac:dyDescent="0.25">
      <c r="L507" s="31"/>
      <c r="M507" s="159"/>
      <c r="N507" s="159"/>
      <c r="O507" s="31"/>
      <c r="P507" s="36"/>
      <c r="Q507" s="117"/>
    </row>
    <row r="508" spans="12:17" x14ac:dyDescent="0.25">
      <c r="L508" s="31"/>
      <c r="M508" s="159"/>
      <c r="N508" s="159"/>
      <c r="O508" s="31"/>
      <c r="P508" s="36"/>
      <c r="Q508" s="117"/>
    </row>
    <row r="509" spans="12:17" x14ac:dyDescent="0.25">
      <c r="L509" s="31"/>
      <c r="M509" s="159"/>
      <c r="N509" s="159"/>
      <c r="O509" s="31"/>
      <c r="P509" s="36"/>
      <c r="Q509" s="117"/>
    </row>
    <row r="510" spans="12:17" x14ac:dyDescent="0.25">
      <c r="L510" s="31"/>
      <c r="M510" s="159"/>
      <c r="N510" s="159"/>
      <c r="O510" s="31"/>
      <c r="P510" s="36"/>
      <c r="Q510" s="117"/>
    </row>
    <row r="511" spans="12:17" x14ac:dyDescent="0.25">
      <c r="L511" s="31"/>
      <c r="M511" s="159"/>
      <c r="N511" s="159"/>
      <c r="O511" s="31"/>
      <c r="P511" s="36"/>
      <c r="Q511" s="117"/>
    </row>
    <row r="512" spans="12:17" x14ac:dyDescent="0.25">
      <c r="L512" s="31"/>
      <c r="M512" s="159"/>
      <c r="N512" s="159"/>
      <c r="O512" s="31"/>
      <c r="P512" s="36"/>
      <c r="Q512" s="117"/>
    </row>
    <row r="513" spans="12:17" x14ac:dyDescent="0.25">
      <c r="L513" s="31"/>
      <c r="M513" s="159"/>
      <c r="N513" s="159"/>
      <c r="O513" s="31"/>
      <c r="P513" s="36"/>
      <c r="Q513" s="117"/>
    </row>
    <row r="514" spans="12:17" x14ac:dyDescent="0.25">
      <c r="L514" s="31"/>
      <c r="M514" s="159"/>
      <c r="N514" s="159"/>
      <c r="O514" s="31"/>
      <c r="P514" s="36"/>
      <c r="Q514" s="117"/>
    </row>
    <row r="515" spans="12:17" x14ac:dyDescent="0.25">
      <c r="L515" s="31"/>
      <c r="M515" s="159"/>
      <c r="N515" s="159"/>
      <c r="O515" s="31"/>
      <c r="P515" s="36"/>
      <c r="Q515" s="117"/>
    </row>
    <row r="516" spans="12:17" x14ac:dyDescent="0.25">
      <c r="L516" s="31"/>
      <c r="M516" s="159"/>
      <c r="N516" s="159"/>
      <c r="O516" s="31"/>
      <c r="P516" s="36"/>
      <c r="Q516" s="117"/>
    </row>
    <row r="517" spans="12:17" x14ac:dyDescent="0.25">
      <c r="L517" s="31"/>
      <c r="M517" s="159"/>
      <c r="N517" s="159"/>
      <c r="O517" s="31"/>
      <c r="P517" s="36"/>
      <c r="Q517" s="117"/>
    </row>
    <row r="518" spans="12:17" x14ac:dyDescent="0.25">
      <c r="L518" s="31"/>
      <c r="M518" s="159"/>
      <c r="N518" s="159"/>
      <c r="O518" s="31"/>
      <c r="P518" s="36"/>
      <c r="Q518" s="117"/>
    </row>
    <row r="519" spans="12:17" x14ac:dyDescent="0.25">
      <c r="L519" s="31"/>
      <c r="M519" s="159"/>
      <c r="N519" s="159"/>
      <c r="O519" s="31"/>
      <c r="P519" s="36"/>
      <c r="Q519" s="117"/>
    </row>
    <row r="520" spans="12:17" x14ac:dyDescent="0.25">
      <c r="L520" s="31"/>
      <c r="M520" s="159"/>
      <c r="N520" s="159"/>
      <c r="O520" s="31"/>
      <c r="P520" s="36"/>
      <c r="Q520" s="117"/>
    </row>
    <row r="521" spans="12:17" x14ac:dyDescent="0.25">
      <c r="L521" s="31"/>
      <c r="M521" s="159"/>
      <c r="N521" s="159"/>
      <c r="O521" s="31"/>
      <c r="P521" s="36"/>
      <c r="Q521" s="117"/>
    </row>
    <row r="522" spans="12:17" x14ac:dyDescent="0.25">
      <c r="L522" s="31"/>
      <c r="M522" s="159"/>
      <c r="N522" s="159"/>
      <c r="O522" s="31"/>
      <c r="P522" s="36"/>
      <c r="Q522" s="117"/>
    </row>
    <row r="523" spans="12:17" x14ac:dyDescent="0.25">
      <c r="L523" s="31"/>
      <c r="M523" s="159"/>
      <c r="N523" s="159"/>
      <c r="O523" s="31"/>
      <c r="P523" s="36"/>
      <c r="Q523" s="117"/>
    </row>
    <row r="524" spans="12:17" x14ac:dyDescent="0.25">
      <c r="L524" s="31"/>
      <c r="M524" s="159"/>
      <c r="N524" s="159"/>
      <c r="O524" s="31"/>
      <c r="P524" s="36"/>
      <c r="Q524" s="117"/>
    </row>
    <row r="525" spans="12:17" x14ac:dyDescent="0.25">
      <c r="L525" s="31"/>
      <c r="M525" s="159"/>
      <c r="N525" s="159"/>
      <c r="O525" s="31"/>
      <c r="P525" s="36"/>
      <c r="Q525" s="117"/>
    </row>
    <row r="526" spans="12:17" x14ac:dyDescent="0.25">
      <c r="L526" s="31"/>
      <c r="M526" s="159"/>
      <c r="N526" s="159"/>
      <c r="O526" s="31"/>
      <c r="P526" s="36"/>
      <c r="Q526" s="117"/>
    </row>
    <row r="527" spans="12:17" x14ac:dyDescent="0.25">
      <c r="L527" s="31"/>
      <c r="M527" s="159"/>
      <c r="N527" s="159"/>
      <c r="O527" s="31"/>
      <c r="P527" s="36"/>
      <c r="Q527" s="117"/>
    </row>
    <row r="528" spans="12:17" x14ac:dyDescent="0.25">
      <c r="L528" s="31"/>
      <c r="M528" s="159"/>
      <c r="N528" s="159"/>
      <c r="O528" s="31"/>
      <c r="P528" s="36"/>
      <c r="Q528" s="117"/>
    </row>
    <row r="529" spans="12:17" x14ac:dyDescent="0.25">
      <c r="L529" s="31"/>
      <c r="M529" s="159"/>
      <c r="N529" s="159"/>
      <c r="O529" s="31"/>
      <c r="P529" s="36"/>
      <c r="Q529" s="117"/>
    </row>
    <row r="530" spans="12:17" x14ac:dyDescent="0.25">
      <c r="L530" s="31"/>
      <c r="M530" s="159"/>
      <c r="N530" s="159"/>
      <c r="O530" s="31"/>
      <c r="P530" s="36"/>
      <c r="Q530" s="117"/>
    </row>
    <row r="531" spans="12:17" x14ac:dyDescent="0.25">
      <c r="L531" s="31"/>
      <c r="M531" s="159"/>
      <c r="N531" s="159"/>
      <c r="O531" s="31"/>
      <c r="P531" s="36"/>
      <c r="Q531" s="117"/>
    </row>
    <row r="532" spans="12:17" x14ac:dyDescent="0.25">
      <c r="L532" s="31"/>
      <c r="M532" s="159"/>
      <c r="N532" s="159"/>
      <c r="O532" s="31"/>
      <c r="P532" s="36"/>
      <c r="Q532" s="117"/>
    </row>
    <row r="533" spans="12:17" x14ac:dyDescent="0.25">
      <c r="L533" s="31"/>
      <c r="M533" s="159"/>
      <c r="N533" s="159"/>
      <c r="O533" s="31"/>
      <c r="P533" s="36"/>
      <c r="Q533" s="117"/>
    </row>
    <row r="534" spans="12:17" x14ac:dyDescent="0.25">
      <c r="L534" s="31"/>
      <c r="M534" s="159"/>
      <c r="N534" s="159"/>
      <c r="O534" s="31"/>
      <c r="P534" s="36"/>
      <c r="Q534" s="117"/>
    </row>
    <row r="535" spans="12:17" x14ac:dyDescent="0.25">
      <c r="L535" s="31"/>
      <c r="M535" s="159"/>
      <c r="N535" s="159"/>
      <c r="O535" s="31"/>
      <c r="P535" s="36"/>
      <c r="Q535" s="117"/>
    </row>
    <row r="536" spans="12:17" x14ac:dyDescent="0.25">
      <c r="L536" s="31"/>
      <c r="M536" s="159"/>
      <c r="N536" s="159"/>
      <c r="O536" s="31"/>
      <c r="P536" s="36"/>
      <c r="Q536" s="117"/>
    </row>
    <row r="537" spans="12:17" x14ac:dyDescent="0.25">
      <c r="L537" s="31"/>
      <c r="M537" s="159"/>
      <c r="N537" s="159"/>
      <c r="O537" s="31"/>
      <c r="P537" s="36"/>
      <c r="Q537" s="117"/>
    </row>
    <row r="538" spans="12:17" x14ac:dyDescent="0.25">
      <c r="L538" s="31"/>
      <c r="M538" s="159"/>
      <c r="N538" s="159"/>
      <c r="O538" s="31"/>
      <c r="P538" s="36"/>
      <c r="Q538" s="117"/>
    </row>
    <row r="539" spans="12:17" x14ac:dyDescent="0.25">
      <c r="L539" s="31"/>
      <c r="M539" s="159"/>
      <c r="N539" s="159"/>
      <c r="O539" s="31"/>
      <c r="P539" s="36"/>
      <c r="Q539" s="117"/>
    </row>
    <row r="540" spans="12:17" x14ac:dyDescent="0.25">
      <c r="L540" s="31"/>
      <c r="M540" s="159"/>
      <c r="N540" s="159"/>
      <c r="O540" s="31"/>
      <c r="P540" s="36"/>
      <c r="Q540" s="117"/>
    </row>
    <row r="541" spans="12:17" x14ac:dyDescent="0.25">
      <c r="L541" s="31"/>
      <c r="M541" s="159"/>
      <c r="N541" s="159"/>
      <c r="O541" s="31"/>
      <c r="P541" s="36"/>
      <c r="Q541" s="117"/>
    </row>
    <row r="542" spans="12:17" x14ac:dyDescent="0.25">
      <c r="L542" s="31"/>
      <c r="M542" s="159"/>
      <c r="N542" s="159"/>
      <c r="O542" s="31"/>
      <c r="P542" s="36"/>
      <c r="Q542" s="117"/>
    </row>
    <row r="543" spans="12:17" x14ac:dyDescent="0.25">
      <c r="L543" s="31"/>
      <c r="M543" s="159"/>
      <c r="N543" s="159"/>
      <c r="O543" s="31"/>
      <c r="P543" s="36"/>
      <c r="Q543" s="117"/>
    </row>
    <row r="544" spans="12:17" x14ac:dyDescent="0.25">
      <c r="L544" s="31"/>
      <c r="M544" s="159"/>
      <c r="N544" s="159"/>
      <c r="O544" s="31"/>
      <c r="P544" s="36"/>
      <c r="Q544" s="117"/>
    </row>
    <row r="545" spans="12:17" x14ac:dyDescent="0.25">
      <c r="L545" s="31"/>
      <c r="M545" s="159"/>
      <c r="N545" s="159"/>
      <c r="O545" s="31"/>
      <c r="P545" s="36"/>
      <c r="Q545" s="117"/>
    </row>
    <row r="546" spans="12:17" x14ac:dyDescent="0.25">
      <c r="L546" s="31"/>
      <c r="M546" s="159"/>
      <c r="N546" s="159"/>
      <c r="O546" s="31"/>
      <c r="P546" s="36"/>
      <c r="Q546" s="117"/>
    </row>
    <row r="547" spans="12:17" x14ac:dyDescent="0.25">
      <c r="L547" s="31"/>
      <c r="M547" s="159"/>
      <c r="N547" s="159"/>
      <c r="O547" s="31"/>
      <c r="P547" s="36"/>
      <c r="Q547" s="117"/>
    </row>
    <row r="548" spans="12:17" x14ac:dyDescent="0.25">
      <c r="L548" s="31"/>
      <c r="M548" s="159"/>
      <c r="N548" s="159"/>
      <c r="O548" s="31"/>
      <c r="P548" s="36"/>
      <c r="Q548" s="117"/>
    </row>
    <row r="549" spans="12:17" x14ac:dyDescent="0.25">
      <c r="L549" s="31"/>
      <c r="M549" s="159"/>
      <c r="N549" s="159"/>
      <c r="O549" s="31"/>
      <c r="P549" s="36"/>
      <c r="Q549" s="117"/>
    </row>
    <row r="550" spans="12:17" x14ac:dyDescent="0.25">
      <c r="L550" s="31"/>
      <c r="M550" s="159"/>
      <c r="N550" s="159"/>
      <c r="O550" s="31"/>
      <c r="P550" s="36"/>
      <c r="Q550" s="117"/>
    </row>
    <row r="551" spans="12:17" x14ac:dyDescent="0.25">
      <c r="L551" s="31"/>
      <c r="M551" s="159"/>
      <c r="N551" s="159"/>
      <c r="O551" s="31"/>
      <c r="P551" s="36"/>
      <c r="Q551" s="117"/>
    </row>
    <row r="552" spans="12:17" x14ac:dyDescent="0.25">
      <c r="L552" s="31"/>
      <c r="M552" s="159"/>
      <c r="N552" s="159"/>
      <c r="O552" s="31"/>
      <c r="P552" s="36"/>
      <c r="Q552" s="117"/>
    </row>
    <row r="553" spans="12:17" x14ac:dyDescent="0.25">
      <c r="L553" s="31"/>
      <c r="M553" s="159"/>
      <c r="N553" s="159"/>
      <c r="O553" s="31"/>
      <c r="P553" s="36"/>
      <c r="Q553" s="117"/>
    </row>
    <row r="554" spans="12:17" x14ac:dyDescent="0.25">
      <c r="L554" s="31"/>
      <c r="M554" s="159"/>
      <c r="N554" s="159"/>
      <c r="O554" s="31"/>
      <c r="P554" s="36"/>
      <c r="Q554" s="117"/>
    </row>
    <row r="555" spans="12:17" x14ac:dyDescent="0.25">
      <c r="L555" s="31"/>
      <c r="M555" s="159"/>
      <c r="N555" s="159"/>
      <c r="O555" s="31"/>
      <c r="P555" s="36"/>
      <c r="Q555" s="117"/>
    </row>
    <row r="556" spans="12:17" x14ac:dyDescent="0.25">
      <c r="L556" s="31"/>
      <c r="M556" s="159"/>
      <c r="N556" s="159"/>
      <c r="O556" s="31"/>
      <c r="P556" s="36"/>
      <c r="Q556" s="117"/>
    </row>
    <row r="557" spans="12:17" x14ac:dyDescent="0.25">
      <c r="L557" s="31"/>
      <c r="M557" s="159"/>
      <c r="N557" s="159"/>
      <c r="O557" s="31"/>
      <c r="P557" s="36"/>
      <c r="Q557" s="117"/>
    </row>
    <row r="558" spans="12:17" x14ac:dyDescent="0.25">
      <c r="L558" s="31"/>
      <c r="M558" s="159"/>
      <c r="N558" s="159"/>
      <c r="O558" s="31"/>
      <c r="P558" s="36"/>
      <c r="Q558" s="117"/>
    </row>
    <row r="559" spans="12:17" x14ac:dyDescent="0.25">
      <c r="L559" s="31"/>
      <c r="M559" s="159"/>
      <c r="N559" s="159"/>
      <c r="O559" s="31"/>
      <c r="P559" s="36"/>
      <c r="Q559" s="117"/>
    </row>
    <row r="560" spans="12:17" x14ac:dyDescent="0.25">
      <c r="L560" s="31"/>
      <c r="M560" s="159"/>
      <c r="N560" s="159"/>
      <c r="O560" s="31"/>
      <c r="P560" s="36"/>
      <c r="Q560" s="117"/>
    </row>
    <row r="561" spans="12:17" x14ac:dyDescent="0.25">
      <c r="L561" s="31"/>
      <c r="M561" s="159"/>
      <c r="N561" s="159"/>
      <c r="O561" s="31"/>
      <c r="P561" s="36"/>
      <c r="Q561" s="117"/>
    </row>
    <row r="562" spans="12:17" x14ac:dyDescent="0.25">
      <c r="L562" s="31"/>
      <c r="M562" s="159"/>
      <c r="N562" s="159"/>
      <c r="O562" s="31"/>
      <c r="P562" s="36"/>
      <c r="Q562" s="117"/>
    </row>
    <row r="563" spans="12:17" x14ac:dyDescent="0.25">
      <c r="L563" s="31"/>
      <c r="M563" s="159"/>
      <c r="N563" s="159"/>
      <c r="O563" s="31"/>
      <c r="P563" s="36"/>
      <c r="Q563" s="117"/>
    </row>
    <row r="564" spans="12:17" x14ac:dyDescent="0.25">
      <c r="L564" s="31"/>
      <c r="M564" s="159"/>
      <c r="N564" s="159"/>
      <c r="O564" s="31"/>
      <c r="P564" s="36"/>
      <c r="Q564" s="117"/>
    </row>
    <row r="565" spans="12:17" x14ac:dyDescent="0.25">
      <c r="L565" s="31"/>
      <c r="M565" s="159"/>
      <c r="N565" s="159"/>
      <c r="O565" s="31"/>
      <c r="P565" s="36"/>
      <c r="Q565" s="117"/>
    </row>
    <row r="566" spans="12:17" x14ac:dyDescent="0.25">
      <c r="L566" s="31"/>
      <c r="M566" s="159"/>
      <c r="N566" s="159"/>
      <c r="O566" s="31"/>
      <c r="P566" s="36"/>
      <c r="Q566" s="117"/>
    </row>
    <row r="567" spans="12:17" x14ac:dyDescent="0.25">
      <c r="L567" s="31"/>
      <c r="M567" s="159"/>
      <c r="N567" s="159"/>
      <c r="O567" s="31"/>
      <c r="P567" s="36"/>
      <c r="Q567" s="117"/>
    </row>
    <row r="568" spans="12:17" x14ac:dyDescent="0.25">
      <c r="L568" s="31"/>
      <c r="M568" s="159"/>
      <c r="N568" s="159"/>
      <c r="O568" s="31"/>
      <c r="P568" s="36"/>
      <c r="Q568" s="117"/>
    </row>
    <row r="569" spans="12:17" x14ac:dyDescent="0.25">
      <c r="L569" s="31"/>
      <c r="M569" s="159"/>
      <c r="N569" s="159"/>
      <c r="O569" s="31"/>
      <c r="P569" s="36"/>
      <c r="Q569" s="117"/>
    </row>
    <row r="570" spans="12:17" x14ac:dyDescent="0.25">
      <c r="L570" s="31"/>
      <c r="M570" s="159"/>
      <c r="N570" s="159"/>
      <c r="O570" s="31"/>
      <c r="P570" s="36"/>
      <c r="Q570" s="117"/>
    </row>
    <row r="571" spans="12:17" x14ac:dyDescent="0.25">
      <c r="L571" s="31"/>
      <c r="M571" s="159"/>
      <c r="N571" s="159"/>
      <c r="O571" s="31"/>
      <c r="P571" s="36"/>
      <c r="Q571" s="117"/>
    </row>
    <row r="572" spans="12:17" x14ac:dyDescent="0.25">
      <c r="L572" s="31"/>
      <c r="M572" s="159"/>
      <c r="N572" s="159"/>
      <c r="O572" s="31"/>
      <c r="P572" s="36"/>
      <c r="Q572" s="117"/>
    </row>
    <row r="573" spans="12:17" x14ac:dyDescent="0.25">
      <c r="L573" s="31"/>
      <c r="M573" s="159"/>
      <c r="N573" s="159"/>
      <c r="O573" s="31"/>
      <c r="P573" s="36"/>
      <c r="Q573" s="117"/>
    </row>
    <row r="574" spans="12:17" x14ac:dyDescent="0.25">
      <c r="L574" s="31"/>
      <c r="M574" s="159"/>
      <c r="N574" s="159"/>
      <c r="O574" s="31"/>
      <c r="P574" s="36"/>
      <c r="Q574" s="117"/>
    </row>
    <row r="575" spans="12:17" x14ac:dyDescent="0.25">
      <c r="L575" s="31"/>
      <c r="M575" s="159"/>
      <c r="N575" s="159"/>
      <c r="O575" s="31"/>
      <c r="P575" s="36"/>
      <c r="Q575" s="117"/>
    </row>
    <row r="576" spans="12:17" x14ac:dyDescent="0.25">
      <c r="L576" s="31"/>
      <c r="M576" s="159"/>
      <c r="N576" s="159"/>
      <c r="O576" s="31"/>
      <c r="P576" s="36"/>
      <c r="Q576" s="117"/>
    </row>
    <row r="577" spans="12:17" x14ac:dyDescent="0.25">
      <c r="L577" s="31"/>
      <c r="M577" s="159"/>
      <c r="N577" s="159"/>
      <c r="O577" s="31"/>
      <c r="P577" s="36"/>
      <c r="Q577" s="117"/>
    </row>
    <row r="578" spans="12:17" x14ac:dyDescent="0.25">
      <c r="L578" s="31"/>
      <c r="M578" s="159"/>
      <c r="N578" s="159"/>
      <c r="O578" s="31"/>
      <c r="P578" s="36"/>
      <c r="Q578" s="117"/>
    </row>
    <row r="579" spans="12:17" x14ac:dyDescent="0.25">
      <c r="L579" s="31"/>
      <c r="M579" s="159"/>
      <c r="N579" s="159"/>
      <c r="O579" s="31"/>
      <c r="P579" s="36"/>
      <c r="Q579" s="117"/>
    </row>
    <row r="580" spans="12:17" x14ac:dyDescent="0.25">
      <c r="L580" s="31"/>
      <c r="M580" s="159"/>
      <c r="N580" s="159"/>
      <c r="O580" s="31"/>
      <c r="P580" s="36"/>
      <c r="Q580" s="117"/>
    </row>
    <row r="581" spans="12:17" x14ac:dyDescent="0.25">
      <c r="L581" s="31"/>
      <c r="M581" s="159"/>
      <c r="N581" s="159"/>
      <c r="O581" s="31"/>
      <c r="P581" s="36"/>
      <c r="Q581" s="117"/>
    </row>
    <row r="582" spans="12:17" x14ac:dyDescent="0.25">
      <c r="L582" s="31"/>
      <c r="M582" s="159"/>
      <c r="N582" s="159"/>
      <c r="O582" s="31"/>
      <c r="P582" s="36"/>
      <c r="Q582" s="117"/>
    </row>
    <row r="583" spans="12:17" x14ac:dyDescent="0.25">
      <c r="L583" s="31"/>
      <c r="M583" s="159"/>
      <c r="N583" s="159"/>
      <c r="O583" s="31"/>
      <c r="P583" s="36"/>
      <c r="Q583" s="117"/>
    </row>
    <row r="584" spans="12:17" x14ac:dyDescent="0.25">
      <c r="L584" s="31"/>
      <c r="M584" s="159"/>
      <c r="N584" s="159"/>
      <c r="O584" s="31"/>
      <c r="P584" s="36"/>
      <c r="Q584" s="117"/>
    </row>
    <row r="585" spans="12:17" x14ac:dyDescent="0.25">
      <c r="L585" s="31"/>
      <c r="M585" s="159"/>
      <c r="N585" s="159"/>
      <c r="O585" s="31"/>
      <c r="P585" s="36"/>
      <c r="Q585" s="117"/>
    </row>
    <row r="586" spans="12:17" x14ac:dyDescent="0.25">
      <c r="L586" s="31"/>
      <c r="M586" s="159"/>
      <c r="N586" s="159"/>
      <c r="O586" s="31"/>
      <c r="P586" s="36"/>
      <c r="Q586" s="117"/>
    </row>
    <row r="587" spans="12:17" x14ac:dyDescent="0.25">
      <c r="L587" s="31"/>
      <c r="M587" s="159"/>
      <c r="N587" s="159"/>
      <c r="O587" s="31"/>
      <c r="P587" s="36"/>
      <c r="Q587" s="117"/>
    </row>
    <row r="588" spans="12:17" x14ac:dyDescent="0.25">
      <c r="L588" s="31"/>
      <c r="M588" s="159"/>
      <c r="N588" s="159"/>
      <c r="O588" s="31"/>
      <c r="P588" s="36"/>
      <c r="Q588" s="117"/>
    </row>
    <row r="589" spans="12:17" x14ac:dyDescent="0.25">
      <c r="L589" s="31"/>
      <c r="M589" s="159"/>
      <c r="N589" s="159"/>
      <c r="O589" s="31"/>
      <c r="P589" s="36"/>
      <c r="Q589" s="117"/>
    </row>
    <row r="590" spans="12:17" x14ac:dyDescent="0.25">
      <c r="L590" s="31"/>
      <c r="M590" s="159"/>
      <c r="N590" s="159"/>
      <c r="O590" s="31"/>
      <c r="P590" s="36"/>
      <c r="Q590" s="117"/>
    </row>
    <row r="591" spans="12:17" x14ac:dyDescent="0.25">
      <c r="L591" s="31"/>
      <c r="M591" s="159"/>
      <c r="N591" s="159"/>
      <c r="O591" s="31"/>
      <c r="P591" s="36"/>
      <c r="Q591" s="117"/>
    </row>
    <row r="592" spans="12:17" x14ac:dyDescent="0.25">
      <c r="L592" s="31"/>
      <c r="M592" s="159"/>
      <c r="N592" s="159"/>
      <c r="O592" s="31"/>
      <c r="P592" s="36"/>
      <c r="Q592" s="117"/>
    </row>
    <row r="593" spans="12:17" x14ac:dyDescent="0.25">
      <c r="L593" s="31"/>
      <c r="M593" s="159"/>
      <c r="N593" s="159"/>
      <c r="O593" s="31"/>
      <c r="P593" s="36"/>
      <c r="Q593" s="117"/>
    </row>
    <row r="594" spans="12:17" x14ac:dyDescent="0.25">
      <c r="L594" s="31"/>
      <c r="M594" s="159"/>
      <c r="N594" s="159"/>
      <c r="O594" s="31"/>
      <c r="P594" s="36"/>
      <c r="Q594" s="117"/>
    </row>
    <row r="595" spans="12:17" x14ac:dyDescent="0.25">
      <c r="L595" s="31"/>
      <c r="M595" s="159"/>
      <c r="N595" s="159"/>
      <c r="O595" s="31"/>
      <c r="P595" s="36"/>
      <c r="Q595" s="117"/>
    </row>
    <row r="596" spans="12:17" x14ac:dyDescent="0.25">
      <c r="L596" s="31"/>
      <c r="M596" s="159"/>
      <c r="N596" s="159"/>
      <c r="O596" s="31"/>
      <c r="P596" s="36"/>
      <c r="Q596" s="117"/>
    </row>
    <row r="597" spans="12:17" x14ac:dyDescent="0.25">
      <c r="L597" s="31"/>
      <c r="M597" s="159"/>
      <c r="N597" s="159"/>
      <c r="O597" s="31"/>
      <c r="P597" s="36"/>
      <c r="Q597" s="117"/>
    </row>
    <row r="598" spans="12:17" x14ac:dyDescent="0.25">
      <c r="L598" s="31"/>
      <c r="M598" s="159"/>
      <c r="N598" s="159"/>
      <c r="O598" s="31"/>
      <c r="P598" s="36"/>
      <c r="Q598" s="117"/>
    </row>
    <row r="599" spans="12:17" x14ac:dyDescent="0.25">
      <c r="L599" s="31"/>
      <c r="M599" s="159"/>
      <c r="N599" s="159"/>
      <c r="O599" s="31"/>
      <c r="P599" s="36"/>
      <c r="Q599" s="117"/>
    </row>
    <row r="600" spans="12:17" x14ac:dyDescent="0.25">
      <c r="L600" s="31"/>
      <c r="M600" s="159"/>
      <c r="N600" s="159"/>
      <c r="O600" s="31"/>
      <c r="P600" s="36"/>
      <c r="Q600" s="117"/>
    </row>
    <row r="601" spans="12:17" x14ac:dyDescent="0.25">
      <c r="L601" s="31"/>
      <c r="M601" s="159"/>
      <c r="N601" s="159"/>
      <c r="O601" s="31"/>
      <c r="P601" s="36"/>
      <c r="Q601" s="117"/>
    </row>
    <row r="602" spans="12:17" x14ac:dyDescent="0.25">
      <c r="L602" s="31"/>
      <c r="M602" s="159"/>
      <c r="N602" s="159"/>
      <c r="O602" s="31"/>
      <c r="P602" s="36"/>
      <c r="Q602" s="117"/>
    </row>
    <row r="603" spans="12:17" x14ac:dyDescent="0.25">
      <c r="L603" s="31"/>
      <c r="M603" s="159"/>
      <c r="N603" s="159"/>
      <c r="O603" s="31"/>
      <c r="P603" s="36"/>
      <c r="Q603" s="117"/>
    </row>
    <row r="604" spans="12:17" x14ac:dyDescent="0.25">
      <c r="L604" s="31"/>
      <c r="M604" s="159"/>
      <c r="N604" s="159"/>
      <c r="O604" s="31"/>
      <c r="P604" s="36"/>
      <c r="Q604" s="117"/>
    </row>
    <row r="605" spans="12:17" x14ac:dyDescent="0.25">
      <c r="L605" s="31"/>
      <c r="M605" s="159"/>
      <c r="N605" s="159"/>
      <c r="O605" s="31"/>
      <c r="P605" s="36"/>
      <c r="Q605" s="117"/>
    </row>
    <row r="606" spans="12:17" x14ac:dyDescent="0.25">
      <c r="L606" s="31"/>
      <c r="M606" s="159"/>
      <c r="N606" s="159"/>
      <c r="O606" s="31"/>
      <c r="P606" s="36"/>
      <c r="Q606" s="117"/>
    </row>
    <row r="607" spans="12:17" x14ac:dyDescent="0.25">
      <c r="L607" s="31"/>
      <c r="M607" s="159"/>
      <c r="N607" s="159"/>
      <c r="O607" s="31"/>
      <c r="P607" s="36"/>
      <c r="Q607" s="117"/>
    </row>
    <row r="608" spans="12:17" x14ac:dyDescent="0.25">
      <c r="L608" s="31"/>
      <c r="M608" s="159"/>
      <c r="N608" s="159"/>
      <c r="O608" s="31"/>
      <c r="P608" s="36"/>
      <c r="Q608" s="117"/>
    </row>
    <row r="609" spans="12:17" x14ac:dyDescent="0.25">
      <c r="L609" s="31"/>
      <c r="M609" s="159"/>
      <c r="N609" s="159"/>
      <c r="O609" s="31"/>
      <c r="P609" s="36"/>
      <c r="Q609" s="117"/>
    </row>
    <row r="610" spans="12:17" x14ac:dyDescent="0.25">
      <c r="L610" s="31"/>
      <c r="M610" s="159"/>
      <c r="N610" s="159"/>
      <c r="O610" s="31"/>
      <c r="P610" s="36"/>
      <c r="Q610" s="117"/>
    </row>
    <row r="611" spans="12:17" x14ac:dyDescent="0.25">
      <c r="L611" s="31"/>
      <c r="M611" s="159"/>
      <c r="N611" s="159"/>
      <c r="O611" s="31"/>
      <c r="P611" s="36"/>
      <c r="Q611" s="117"/>
    </row>
    <row r="612" spans="12:17" x14ac:dyDescent="0.25">
      <c r="L612" s="31"/>
      <c r="M612" s="159"/>
      <c r="N612" s="159"/>
      <c r="O612" s="31"/>
      <c r="P612" s="36"/>
      <c r="Q612" s="117"/>
    </row>
    <row r="613" spans="12:17" x14ac:dyDescent="0.25">
      <c r="L613" s="31"/>
      <c r="M613" s="159"/>
      <c r="N613" s="159"/>
      <c r="O613" s="31"/>
      <c r="P613" s="36"/>
      <c r="Q613" s="117"/>
    </row>
    <row r="614" spans="12:17" x14ac:dyDescent="0.25">
      <c r="L614" s="31"/>
      <c r="M614" s="327"/>
      <c r="N614" s="159"/>
      <c r="O614" s="31"/>
      <c r="P614" s="36"/>
      <c r="Q614" s="117"/>
    </row>
    <row r="615" spans="12:17" x14ac:dyDescent="0.25">
      <c r="L615" s="31"/>
      <c r="M615" s="449"/>
      <c r="N615" s="159"/>
      <c r="O615" s="31"/>
      <c r="P615" s="36"/>
      <c r="Q615" s="117"/>
    </row>
    <row r="616" spans="12:17" x14ac:dyDescent="0.25">
      <c r="L616" s="31"/>
      <c r="M616" s="327"/>
      <c r="N616" s="159"/>
      <c r="O616" s="31"/>
      <c r="P616" s="36"/>
      <c r="Q616" s="117"/>
    </row>
    <row r="617" spans="12:17" x14ac:dyDescent="0.25">
      <c r="L617" s="31"/>
      <c r="M617" s="449"/>
      <c r="N617" s="159"/>
      <c r="O617" s="31"/>
      <c r="P617" s="36"/>
      <c r="Q617" s="117"/>
    </row>
    <row r="618" spans="12:17" x14ac:dyDescent="0.25">
      <c r="L618" s="31"/>
      <c r="M618" s="327"/>
      <c r="N618" s="159"/>
      <c r="O618" s="31"/>
      <c r="P618" s="36"/>
      <c r="Q618" s="117"/>
    </row>
    <row r="619" spans="12:17" x14ac:dyDescent="0.25">
      <c r="L619" s="31"/>
      <c r="M619" s="449"/>
      <c r="N619" s="159"/>
      <c r="O619" s="31"/>
      <c r="P619" s="36"/>
      <c r="Q619" s="117"/>
    </row>
    <row r="620" spans="12:17" x14ac:dyDescent="0.25">
      <c r="L620" s="31"/>
      <c r="M620" s="327"/>
      <c r="N620" s="159"/>
      <c r="O620" s="31"/>
      <c r="P620" s="36"/>
      <c r="Q620" s="117"/>
    </row>
    <row r="621" spans="12:17" x14ac:dyDescent="0.25">
      <c r="L621" s="31"/>
      <c r="M621" s="449"/>
      <c r="N621" s="159"/>
      <c r="O621" s="31"/>
      <c r="P621" s="36"/>
      <c r="Q621" s="117"/>
    </row>
    <row r="622" spans="12:17" x14ac:dyDescent="0.25">
      <c r="L622" s="31"/>
      <c r="M622" s="327"/>
      <c r="N622" s="159"/>
      <c r="O622" s="31"/>
      <c r="P622" s="36"/>
      <c r="Q622" s="117"/>
    </row>
    <row r="623" spans="12:17" x14ac:dyDescent="0.25">
      <c r="L623" s="31"/>
      <c r="M623" s="449"/>
      <c r="N623" s="159"/>
      <c r="O623" s="31"/>
      <c r="P623" s="36"/>
      <c r="Q623" s="117"/>
    </row>
    <row r="624" spans="12:17" x14ac:dyDescent="0.25">
      <c r="L624" s="31"/>
      <c r="M624" s="327"/>
      <c r="N624" s="159"/>
      <c r="O624" s="31"/>
      <c r="P624" s="36"/>
      <c r="Q624" s="117"/>
    </row>
    <row r="625" spans="12:17" x14ac:dyDescent="0.25">
      <c r="L625" s="31"/>
      <c r="M625" s="449"/>
      <c r="N625" s="159"/>
      <c r="O625" s="31"/>
      <c r="P625" s="36"/>
      <c r="Q625" s="117"/>
    </row>
    <row r="626" spans="12:17" x14ac:dyDescent="0.25">
      <c r="L626" s="31"/>
      <c r="M626" s="327"/>
      <c r="N626" s="159"/>
      <c r="O626" s="31"/>
      <c r="P626" s="36"/>
      <c r="Q626" s="117"/>
    </row>
    <row r="627" spans="12:17" x14ac:dyDescent="0.25">
      <c r="L627" s="31"/>
      <c r="M627" s="449"/>
      <c r="N627" s="159"/>
      <c r="O627" s="31"/>
      <c r="P627" s="36"/>
      <c r="Q627" s="117"/>
    </row>
    <row r="628" spans="12:17" x14ac:dyDescent="0.25">
      <c r="L628" s="31"/>
      <c r="M628" s="327"/>
      <c r="N628" s="159"/>
      <c r="O628" s="31"/>
      <c r="P628" s="36"/>
      <c r="Q628" s="117"/>
    </row>
    <row r="629" spans="12:17" x14ac:dyDescent="0.25">
      <c r="L629" s="31"/>
      <c r="M629" s="449"/>
      <c r="N629" s="159"/>
      <c r="O629" s="31"/>
      <c r="P629" s="36"/>
      <c r="Q629" s="117"/>
    </row>
    <row r="630" spans="12:17" x14ac:dyDescent="0.25">
      <c r="L630" s="31"/>
      <c r="M630" s="327"/>
      <c r="N630" s="448"/>
      <c r="O630" s="31"/>
      <c r="P630" s="116"/>
      <c r="Q630" s="35"/>
    </row>
    <row r="631" spans="12:17" x14ac:dyDescent="0.25">
      <c r="N631" s="55"/>
    </row>
    <row r="632" spans="12:17" x14ac:dyDescent="0.25">
      <c r="N632" s="55"/>
    </row>
    <row r="633" spans="12:17" x14ac:dyDescent="0.25">
      <c r="N633" s="55"/>
    </row>
    <row r="634" spans="12:17" x14ac:dyDescent="0.25">
      <c r="N634" s="55"/>
    </row>
    <row r="635" spans="12:17" x14ac:dyDescent="0.25">
      <c r="N635" s="55"/>
    </row>
    <row r="636" spans="12:17" x14ac:dyDescent="0.25">
      <c r="N636" s="55"/>
    </row>
    <row r="637" spans="12:17" x14ac:dyDescent="0.25">
      <c r="N637" s="55"/>
    </row>
    <row r="638" spans="12:17" x14ac:dyDescent="0.25">
      <c r="N638" s="55"/>
    </row>
    <row r="639" spans="12:17" x14ac:dyDescent="0.25">
      <c r="N639" s="55"/>
    </row>
    <row r="640" spans="12:17" x14ac:dyDescent="0.25">
      <c r="N640" s="55"/>
    </row>
    <row r="641" spans="14:14" x14ac:dyDescent="0.25">
      <c r="N641" s="55"/>
    </row>
    <row r="642" spans="14:14" x14ac:dyDescent="0.25">
      <c r="N642" s="55"/>
    </row>
    <row r="643" spans="14:14" x14ac:dyDescent="0.25">
      <c r="N643" s="55"/>
    </row>
    <row r="644" spans="14:14" x14ac:dyDescent="0.25">
      <c r="N644" s="55"/>
    </row>
    <row r="645" spans="14:14" x14ac:dyDescent="0.25">
      <c r="N645" s="55"/>
    </row>
    <row r="646" spans="14:14" x14ac:dyDescent="0.25">
      <c r="N646" s="55"/>
    </row>
    <row r="647" spans="14:14" x14ac:dyDescent="0.25">
      <c r="N647" s="55"/>
    </row>
    <row r="648" spans="14:14" x14ac:dyDescent="0.25">
      <c r="N648" s="55"/>
    </row>
    <row r="649" spans="14:14" x14ac:dyDescent="0.25">
      <c r="N649" s="55"/>
    </row>
    <row r="650" spans="14:14" x14ac:dyDescent="0.25">
      <c r="N650" s="55"/>
    </row>
    <row r="651" spans="14:14" x14ac:dyDescent="0.25">
      <c r="N651" s="55"/>
    </row>
    <row r="652" spans="14:14" x14ac:dyDescent="0.25">
      <c r="N652" s="55"/>
    </row>
    <row r="653" spans="14:14" x14ac:dyDescent="0.25">
      <c r="N653" s="55"/>
    </row>
    <row r="654" spans="14:14" x14ac:dyDescent="0.25">
      <c r="N654" s="55"/>
    </row>
    <row r="655" spans="14:14" x14ac:dyDescent="0.25">
      <c r="N655" s="55"/>
    </row>
    <row r="656" spans="14:14" x14ac:dyDescent="0.25">
      <c r="N656" s="55"/>
    </row>
    <row r="657" spans="14:14" x14ac:dyDescent="0.25">
      <c r="N657" s="55"/>
    </row>
    <row r="658" spans="14:14" x14ac:dyDescent="0.25">
      <c r="N658" s="55"/>
    </row>
    <row r="659" spans="14:14" x14ac:dyDescent="0.25">
      <c r="N659" s="55"/>
    </row>
    <row r="660" spans="14:14" x14ac:dyDescent="0.25">
      <c r="N660" s="55"/>
    </row>
    <row r="661" spans="14:14" x14ac:dyDescent="0.25">
      <c r="N661" s="55"/>
    </row>
    <row r="662" spans="14:14" x14ac:dyDescent="0.25">
      <c r="N662" s="55"/>
    </row>
    <row r="663" spans="14:14" x14ac:dyDescent="0.25">
      <c r="N663" s="55"/>
    </row>
    <row r="664" spans="14:14" x14ac:dyDescent="0.25">
      <c r="N664" s="55"/>
    </row>
    <row r="665" spans="14:14" x14ac:dyDescent="0.25">
      <c r="N665" s="55"/>
    </row>
    <row r="666" spans="14:14" x14ac:dyDescent="0.25">
      <c r="N666" s="55"/>
    </row>
    <row r="667" spans="14:14" x14ac:dyDescent="0.25">
      <c r="N667" s="55"/>
    </row>
    <row r="668" spans="14:14" x14ac:dyDescent="0.25">
      <c r="N668" s="55"/>
    </row>
    <row r="669" spans="14:14" x14ac:dyDescent="0.25">
      <c r="N669" s="55"/>
    </row>
    <row r="670" spans="14:14" x14ac:dyDescent="0.25">
      <c r="N670" s="55"/>
    </row>
    <row r="671" spans="14:14" x14ac:dyDescent="0.25">
      <c r="N671" s="55"/>
    </row>
    <row r="672" spans="14:14" x14ac:dyDescent="0.25">
      <c r="N672" s="55"/>
    </row>
    <row r="673" spans="14:14" x14ac:dyDescent="0.25">
      <c r="N673" s="55"/>
    </row>
    <row r="674" spans="14:14" x14ac:dyDescent="0.25">
      <c r="N674" s="55"/>
    </row>
    <row r="675" spans="14:14" x14ac:dyDescent="0.25">
      <c r="N675" s="55"/>
    </row>
    <row r="676" spans="14:14" x14ac:dyDescent="0.25">
      <c r="N676" s="55"/>
    </row>
    <row r="677" spans="14:14" x14ac:dyDescent="0.25">
      <c r="N677" s="55"/>
    </row>
    <row r="678" spans="14:14" x14ac:dyDescent="0.25">
      <c r="N678" s="55"/>
    </row>
    <row r="679" spans="14:14" x14ac:dyDescent="0.25">
      <c r="N679" s="55"/>
    </row>
    <row r="680" spans="14:14" x14ac:dyDescent="0.25">
      <c r="N680" s="55"/>
    </row>
    <row r="681" spans="14:14" x14ac:dyDescent="0.25">
      <c r="N681" s="55"/>
    </row>
    <row r="682" spans="14:14" x14ac:dyDescent="0.25">
      <c r="N682" s="55"/>
    </row>
    <row r="683" spans="14:14" x14ac:dyDescent="0.25">
      <c r="N683" s="55"/>
    </row>
    <row r="684" spans="14:14" x14ac:dyDescent="0.25">
      <c r="N684" s="55"/>
    </row>
    <row r="685" spans="14:14" x14ac:dyDescent="0.25">
      <c r="N685" s="55"/>
    </row>
    <row r="686" spans="14:14" x14ac:dyDescent="0.25">
      <c r="N686" s="55"/>
    </row>
    <row r="687" spans="14:14" x14ac:dyDescent="0.25">
      <c r="N687" s="55"/>
    </row>
    <row r="688" spans="14:14" x14ac:dyDescent="0.25">
      <c r="N688" s="55"/>
    </row>
    <row r="689" spans="14:14" x14ac:dyDescent="0.25">
      <c r="N689" s="55"/>
    </row>
    <row r="690" spans="14:14" x14ac:dyDescent="0.25">
      <c r="N690" s="55"/>
    </row>
    <row r="691" spans="14:14" x14ac:dyDescent="0.25">
      <c r="N691" s="55"/>
    </row>
    <row r="692" spans="14:14" x14ac:dyDescent="0.25">
      <c r="N692" s="55"/>
    </row>
    <row r="693" spans="14:14" x14ac:dyDescent="0.25">
      <c r="N693" s="55"/>
    </row>
    <row r="694" spans="14:14" x14ac:dyDescent="0.25">
      <c r="N694" s="55"/>
    </row>
    <row r="695" spans="14:14" x14ac:dyDescent="0.25">
      <c r="N695" s="55"/>
    </row>
    <row r="696" spans="14:14" x14ac:dyDescent="0.25">
      <c r="N696" s="55"/>
    </row>
    <row r="697" spans="14:14" x14ac:dyDescent="0.25">
      <c r="N697" s="55"/>
    </row>
    <row r="698" spans="14:14" x14ac:dyDescent="0.25">
      <c r="N698" s="55"/>
    </row>
    <row r="699" spans="14:14" x14ac:dyDescent="0.25">
      <c r="N699" s="55"/>
    </row>
    <row r="700" spans="14:14" x14ac:dyDescent="0.25">
      <c r="N700" s="55"/>
    </row>
    <row r="701" spans="14:14" x14ac:dyDescent="0.25">
      <c r="N701" s="55"/>
    </row>
    <row r="702" spans="14:14" x14ac:dyDescent="0.25">
      <c r="N702" s="55"/>
    </row>
    <row r="703" spans="14:14" x14ac:dyDescent="0.25">
      <c r="N703" s="55"/>
    </row>
    <row r="704" spans="14:14" x14ac:dyDescent="0.25">
      <c r="N704" s="55"/>
    </row>
    <row r="705" spans="14:14" x14ac:dyDescent="0.25">
      <c r="N705" s="55"/>
    </row>
    <row r="706" spans="14:14" x14ac:dyDescent="0.25">
      <c r="N706" s="55"/>
    </row>
    <row r="707" spans="14:14" x14ac:dyDescent="0.25">
      <c r="N707" s="55"/>
    </row>
    <row r="708" spans="14:14" x14ac:dyDescent="0.25">
      <c r="N708" s="55"/>
    </row>
    <row r="709" spans="14:14" x14ac:dyDescent="0.25">
      <c r="N709" s="55"/>
    </row>
    <row r="710" spans="14:14" x14ac:dyDescent="0.25">
      <c r="N710" s="55"/>
    </row>
    <row r="711" spans="14:14" x14ac:dyDescent="0.25">
      <c r="N711" s="55"/>
    </row>
    <row r="712" spans="14:14" x14ac:dyDescent="0.25">
      <c r="N712" s="55"/>
    </row>
    <row r="713" spans="14:14" x14ac:dyDescent="0.25">
      <c r="N713" s="55"/>
    </row>
    <row r="714" spans="14:14" x14ac:dyDescent="0.25">
      <c r="N714" s="55"/>
    </row>
    <row r="715" spans="14:14" x14ac:dyDescent="0.25">
      <c r="N715" s="55"/>
    </row>
    <row r="716" spans="14:14" x14ac:dyDescent="0.25">
      <c r="N716" s="55"/>
    </row>
    <row r="717" spans="14:14" x14ac:dyDescent="0.25">
      <c r="N717" s="55"/>
    </row>
    <row r="718" spans="14:14" x14ac:dyDescent="0.25">
      <c r="N718" s="55"/>
    </row>
    <row r="719" spans="14:14" x14ac:dyDescent="0.25">
      <c r="N719" s="55"/>
    </row>
    <row r="720" spans="14:14" x14ac:dyDescent="0.25">
      <c r="N720" s="55"/>
    </row>
    <row r="721" spans="14:14" x14ac:dyDescent="0.25">
      <c r="N721" s="55"/>
    </row>
    <row r="722" spans="14:14" x14ac:dyDescent="0.25">
      <c r="N722" s="55"/>
    </row>
    <row r="723" spans="14:14" x14ac:dyDescent="0.25">
      <c r="N723" s="55"/>
    </row>
    <row r="724" spans="14:14" x14ac:dyDescent="0.25">
      <c r="N724" s="55"/>
    </row>
    <row r="725" spans="14:14" x14ac:dyDescent="0.25">
      <c r="N725" s="55"/>
    </row>
    <row r="726" spans="14:14" x14ac:dyDescent="0.25">
      <c r="N726" s="55"/>
    </row>
    <row r="727" spans="14:14" x14ac:dyDescent="0.25">
      <c r="N727" s="55"/>
    </row>
    <row r="728" spans="14:14" x14ac:dyDescent="0.25">
      <c r="N728" s="55"/>
    </row>
    <row r="729" spans="14:14" x14ac:dyDescent="0.25">
      <c r="N729" s="55"/>
    </row>
    <row r="730" spans="14:14" x14ac:dyDescent="0.25">
      <c r="N730" s="55"/>
    </row>
    <row r="731" spans="14:14" x14ac:dyDescent="0.25">
      <c r="N731" s="55"/>
    </row>
    <row r="732" spans="14:14" x14ac:dyDescent="0.25">
      <c r="N732" s="55"/>
    </row>
    <row r="733" spans="14:14" x14ac:dyDescent="0.25">
      <c r="N733" s="55"/>
    </row>
    <row r="734" spans="14:14" x14ac:dyDescent="0.25">
      <c r="N734" s="55"/>
    </row>
    <row r="735" spans="14:14" x14ac:dyDescent="0.25">
      <c r="N735" s="55"/>
    </row>
    <row r="736" spans="14:14" x14ac:dyDescent="0.25">
      <c r="N736" s="55"/>
    </row>
    <row r="737" spans="14:14" x14ac:dyDescent="0.25">
      <c r="N737" s="55"/>
    </row>
    <row r="738" spans="14:14" x14ac:dyDescent="0.25">
      <c r="N738" s="55"/>
    </row>
    <row r="739" spans="14:14" x14ac:dyDescent="0.25">
      <c r="N739" s="55"/>
    </row>
    <row r="740" spans="14:14" x14ac:dyDescent="0.25">
      <c r="N740" s="55"/>
    </row>
    <row r="741" spans="14:14" x14ac:dyDescent="0.25">
      <c r="N741" s="55"/>
    </row>
    <row r="742" spans="14:14" x14ac:dyDescent="0.25">
      <c r="N742" s="55"/>
    </row>
    <row r="743" spans="14:14" x14ac:dyDescent="0.25">
      <c r="N743" s="55"/>
    </row>
    <row r="744" spans="14:14" x14ac:dyDescent="0.25">
      <c r="N744" s="55"/>
    </row>
    <row r="745" spans="14:14" x14ac:dyDescent="0.25">
      <c r="N745" s="55"/>
    </row>
    <row r="746" spans="14:14" x14ac:dyDescent="0.25">
      <c r="N746" s="55"/>
    </row>
    <row r="747" spans="14:14" x14ac:dyDescent="0.25">
      <c r="N747" s="55"/>
    </row>
    <row r="748" spans="14:14" x14ac:dyDescent="0.25">
      <c r="N748" s="55"/>
    </row>
    <row r="749" spans="14:14" x14ac:dyDescent="0.25">
      <c r="N749" s="55"/>
    </row>
    <row r="750" spans="14:14" x14ac:dyDescent="0.25">
      <c r="N750" s="55"/>
    </row>
    <row r="751" spans="14:14" x14ac:dyDescent="0.25">
      <c r="N751" s="55"/>
    </row>
    <row r="752" spans="14:14" x14ac:dyDescent="0.25">
      <c r="N752" s="55"/>
    </row>
    <row r="753" spans="14:14" x14ac:dyDescent="0.25">
      <c r="N753" s="55"/>
    </row>
    <row r="754" spans="14:14" x14ac:dyDescent="0.25">
      <c r="N754" s="55"/>
    </row>
    <row r="755" spans="14:14" x14ac:dyDescent="0.25">
      <c r="N755" s="55"/>
    </row>
    <row r="756" spans="14:14" x14ac:dyDescent="0.25">
      <c r="N756" s="55"/>
    </row>
    <row r="757" spans="14:14" x14ac:dyDescent="0.25">
      <c r="N757" s="55"/>
    </row>
    <row r="758" spans="14:14" x14ac:dyDescent="0.25">
      <c r="N758" s="55"/>
    </row>
    <row r="759" spans="14:14" x14ac:dyDescent="0.25">
      <c r="N759" s="55"/>
    </row>
    <row r="760" spans="14:14" x14ac:dyDescent="0.25">
      <c r="N760" s="55"/>
    </row>
    <row r="761" spans="14:14" x14ac:dyDescent="0.25">
      <c r="N761" s="55"/>
    </row>
    <row r="762" spans="14:14" x14ac:dyDescent="0.25">
      <c r="N762" s="55"/>
    </row>
    <row r="763" spans="14:14" x14ac:dyDescent="0.25">
      <c r="N763" s="55"/>
    </row>
    <row r="764" spans="14:14" x14ac:dyDescent="0.25">
      <c r="N764" s="55"/>
    </row>
    <row r="765" spans="14:14" x14ac:dyDescent="0.25">
      <c r="N765" s="55"/>
    </row>
    <row r="766" spans="14:14" x14ac:dyDescent="0.25">
      <c r="N766" s="55"/>
    </row>
    <row r="767" spans="14:14" x14ac:dyDescent="0.25">
      <c r="N767" s="55"/>
    </row>
    <row r="768" spans="14:14" x14ac:dyDescent="0.25">
      <c r="N768" s="55"/>
    </row>
    <row r="769" spans="14:14" x14ac:dyDescent="0.25">
      <c r="N769" s="55"/>
    </row>
    <row r="770" spans="14:14" x14ac:dyDescent="0.25">
      <c r="N770" s="55"/>
    </row>
    <row r="771" spans="14:14" x14ac:dyDescent="0.25">
      <c r="N771" s="55"/>
    </row>
    <row r="772" spans="14:14" x14ac:dyDescent="0.25">
      <c r="N772" s="55"/>
    </row>
    <row r="773" spans="14:14" x14ac:dyDescent="0.25">
      <c r="N773" s="55"/>
    </row>
    <row r="774" spans="14:14" x14ac:dyDescent="0.25">
      <c r="N774" s="55"/>
    </row>
    <row r="775" spans="14:14" x14ac:dyDescent="0.25">
      <c r="N775" s="55"/>
    </row>
    <row r="776" spans="14:14" x14ac:dyDescent="0.25">
      <c r="N776" s="55"/>
    </row>
    <row r="777" spans="14:14" x14ac:dyDescent="0.25">
      <c r="N777" s="55"/>
    </row>
    <row r="778" spans="14:14" x14ac:dyDescent="0.25">
      <c r="N778" s="55"/>
    </row>
    <row r="779" spans="14:14" x14ac:dyDescent="0.25">
      <c r="N779" s="55"/>
    </row>
    <row r="780" spans="14:14" x14ac:dyDescent="0.25">
      <c r="N780" s="55"/>
    </row>
    <row r="781" spans="14:14" x14ac:dyDescent="0.25">
      <c r="N781" s="55"/>
    </row>
    <row r="782" spans="14:14" x14ac:dyDescent="0.25">
      <c r="N782" s="55"/>
    </row>
    <row r="783" spans="14:14" x14ac:dyDescent="0.25">
      <c r="N783" s="55"/>
    </row>
    <row r="784" spans="14:14" x14ac:dyDescent="0.25">
      <c r="N784" s="55"/>
    </row>
    <row r="785" spans="14:14" x14ac:dyDescent="0.25">
      <c r="N785" s="55"/>
    </row>
    <row r="786" spans="14:14" x14ac:dyDescent="0.25">
      <c r="N786" s="55"/>
    </row>
    <row r="787" spans="14:14" x14ac:dyDescent="0.25">
      <c r="N787" s="55"/>
    </row>
    <row r="788" spans="14:14" x14ac:dyDescent="0.25">
      <c r="N788" s="55"/>
    </row>
    <row r="789" spans="14:14" x14ac:dyDescent="0.25">
      <c r="N789" s="55"/>
    </row>
    <row r="790" spans="14:14" x14ac:dyDescent="0.25">
      <c r="N790" s="55"/>
    </row>
    <row r="791" spans="14:14" x14ac:dyDescent="0.25">
      <c r="N791" s="55"/>
    </row>
    <row r="792" spans="14:14" x14ac:dyDescent="0.25">
      <c r="N792" s="55"/>
    </row>
    <row r="793" spans="14:14" x14ac:dyDescent="0.25">
      <c r="N793" s="55"/>
    </row>
    <row r="794" spans="14:14" x14ac:dyDescent="0.25">
      <c r="N794" s="55"/>
    </row>
    <row r="795" spans="14:14" x14ac:dyDescent="0.25">
      <c r="N795" s="55"/>
    </row>
    <row r="796" spans="14:14" x14ac:dyDescent="0.25">
      <c r="N796" s="55"/>
    </row>
    <row r="797" spans="14:14" x14ac:dyDescent="0.25">
      <c r="N797" s="55"/>
    </row>
    <row r="798" spans="14:14" x14ac:dyDescent="0.25">
      <c r="N798" s="55"/>
    </row>
    <row r="799" spans="14:14" x14ac:dyDescent="0.25">
      <c r="N799" s="55"/>
    </row>
    <row r="800" spans="14:14" x14ac:dyDescent="0.25">
      <c r="N800" s="55"/>
    </row>
    <row r="801" spans="14:14" x14ac:dyDescent="0.25">
      <c r="N801" s="55"/>
    </row>
    <row r="802" spans="14:14" x14ac:dyDescent="0.25">
      <c r="N802" s="55"/>
    </row>
    <row r="803" spans="14:14" x14ac:dyDescent="0.25">
      <c r="N803" s="55"/>
    </row>
    <row r="804" spans="14:14" x14ac:dyDescent="0.25">
      <c r="N804" s="55"/>
    </row>
    <row r="805" spans="14:14" x14ac:dyDescent="0.25">
      <c r="N805" s="55"/>
    </row>
    <row r="806" spans="14:14" x14ac:dyDescent="0.25">
      <c r="N806" s="55"/>
    </row>
    <row r="807" spans="14:14" x14ac:dyDescent="0.25">
      <c r="N807" s="55"/>
    </row>
    <row r="808" spans="14:14" x14ac:dyDescent="0.25">
      <c r="N808" s="55"/>
    </row>
    <row r="809" spans="14:14" x14ac:dyDescent="0.25">
      <c r="N809" s="55"/>
    </row>
    <row r="810" spans="14:14" x14ac:dyDescent="0.25">
      <c r="N810" s="55"/>
    </row>
    <row r="811" spans="14:14" x14ac:dyDescent="0.25">
      <c r="N811" s="55"/>
    </row>
    <row r="812" spans="14:14" x14ac:dyDescent="0.25">
      <c r="N812" s="55"/>
    </row>
    <row r="813" spans="14:14" x14ac:dyDescent="0.25">
      <c r="N813" s="55"/>
    </row>
    <row r="814" spans="14:14" x14ac:dyDescent="0.25">
      <c r="N814" s="55"/>
    </row>
    <row r="815" spans="14:14" x14ac:dyDescent="0.25">
      <c r="N815" s="55"/>
    </row>
    <row r="816" spans="14:14" x14ac:dyDescent="0.25">
      <c r="N816" s="55"/>
    </row>
    <row r="817" spans="14:14" x14ac:dyDescent="0.25">
      <c r="N817" s="55"/>
    </row>
    <row r="818" spans="14:14" x14ac:dyDescent="0.25">
      <c r="N818" s="55"/>
    </row>
    <row r="819" spans="14:14" x14ac:dyDescent="0.25">
      <c r="N819" s="55"/>
    </row>
    <row r="820" spans="14:14" x14ac:dyDescent="0.25">
      <c r="N820" s="55"/>
    </row>
    <row r="821" spans="14:14" x14ac:dyDescent="0.25">
      <c r="N821" s="55"/>
    </row>
    <row r="822" spans="14:14" x14ac:dyDescent="0.25">
      <c r="N822" s="55"/>
    </row>
    <row r="823" spans="14:14" x14ac:dyDescent="0.25">
      <c r="N823" s="55"/>
    </row>
    <row r="824" spans="14:14" x14ac:dyDescent="0.25">
      <c r="N824" s="55"/>
    </row>
    <row r="825" spans="14:14" x14ac:dyDescent="0.25">
      <c r="N825" s="55"/>
    </row>
    <row r="826" spans="14:14" x14ac:dyDescent="0.25">
      <c r="N826" s="55"/>
    </row>
    <row r="827" spans="14:14" x14ac:dyDescent="0.25">
      <c r="N827" s="55"/>
    </row>
    <row r="828" spans="14:14" x14ac:dyDescent="0.25">
      <c r="N828" s="55"/>
    </row>
    <row r="829" spans="14:14" x14ac:dyDescent="0.25">
      <c r="N829" s="55"/>
    </row>
    <row r="830" spans="14:14" x14ac:dyDescent="0.25">
      <c r="N830" s="55"/>
    </row>
    <row r="831" spans="14:14" x14ac:dyDescent="0.25">
      <c r="N831" s="55"/>
    </row>
    <row r="832" spans="14:14" x14ac:dyDescent="0.25">
      <c r="N832" s="55"/>
    </row>
    <row r="833" spans="14:14" x14ac:dyDescent="0.25">
      <c r="N833" s="55"/>
    </row>
    <row r="834" spans="14:14" x14ac:dyDescent="0.25">
      <c r="N834" s="55"/>
    </row>
    <row r="835" spans="14:14" x14ac:dyDescent="0.25">
      <c r="N835" s="55"/>
    </row>
    <row r="836" spans="14:14" x14ac:dyDescent="0.25">
      <c r="N836" s="55"/>
    </row>
    <row r="837" spans="14:14" x14ac:dyDescent="0.25">
      <c r="N837" s="55"/>
    </row>
    <row r="838" spans="14:14" x14ac:dyDescent="0.25">
      <c r="N838" s="55"/>
    </row>
    <row r="839" spans="14:14" x14ac:dyDescent="0.25">
      <c r="N839" s="55"/>
    </row>
    <row r="840" spans="14:14" x14ac:dyDescent="0.25">
      <c r="N840" s="55"/>
    </row>
    <row r="841" spans="14:14" x14ac:dyDescent="0.25">
      <c r="N841" s="55"/>
    </row>
    <row r="842" spans="14:14" x14ac:dyDescent="0.25">
      <c r="N842" s="55"/>
    </row>
    <row r="843" spans="14:14" x14ac:dyDescent="0.25">
      <c r="N843" s="55"/>
    </row>
    <row r="844" spans="14:14" x14ac:dyDescent="0.25">
      <c r="N844" s="55"/>
    </row>
    <row r="845" spans="14:14" x14ac:dyDescent="0.25">
      <c r="N845" s="55"/>
    </row>
    <row r="846" spans="14:14" x14ac:dyDescent="0.25">
      <c r="N846" s="55"/>
    </row>
    <row r="847" spans="14:14" x14ac:dyDescent="0.25">
      <c r="N847" s="55"/>
    </row>
    <row r="848" spans="14:14" x14ac:dyDescent="0.25">
      <c r="N848" s="55"/>
    </row>
    <row r="849" spans="14:14" x14ac:dyDescent="0.25">
      <c r="N849" s="55"/>
    </row>
    <row r="850" spans="14:14" x14ac:dyDescent="0.25">
      <c r="N850" s="55"/>
    </row>
    <row r="851" spans="14:14" x14ac:dyDescent="0.25">
      <c r="N851" s="55"/>
    </row>
    <row r="852" spans="14:14" x14ac:dyDescent="0.25">
      <c r="N852" s="55"/>
    </row>
    <row r="853" spans="14:14" x14ac:dyDescent="0.25">
      <c r="N853" s="55"/>
    </row>
    <row r="854" spans="14:14" x14ac:dyDescent="0.25">
      <c r="N854" s="55"/>
    </row>
    <row r="855" spans="14:14" x14ac:dyDescent="0.25">
      <c r="N855" s="55"/>
    </row>
    <row r="856" spans="14:14" x14ac:dyDescent="0.25">
      <c r="N856" s="55"/>
    </row>
    <row r="857" spans="14:14" x14ac:dyDescent="0.25">
      <c r="N857" s="55"/>
    </row>
    <row r="858" spans="14:14" x14ac:dyDescent="0.25">
      <c r="N858" s="55"/>
    </row>
    <row r="859" spans="14:14" x14ac:dyDescent="0.25">
      <c r="N859" s="55"/>
    </row>
    <row r="860" spans="14:14" x14ac:dyDescent="0.25">
      <c r="N860" s="55"/>
    </row>
    <row r="861" spans="14:14" x14ac:dyDescent="0.25">
      <c r="N861" s="55"/>
    </row>
    <row r="862" spans="14:14" x14ac:dyDescent="0.25">
      <c r="N862" s="55"/>
    </row>
    <row r="863" spans="14:14" x14ac:dyDescent="0.25">
      <c r="N863" s="55"/>
    </row>
    <row r="864" spans="14:14" x14ac:dyDescent="0.25">
      <c r="N864" s="55"/>
    </row>
    <row r="865" spans="14:14" x14ac:dyDescent="0.25">
      <c r="N865" s="55"/>
    </row>
    <row r="866" spans="14:14" x14ac:dyDescent="0.25">
      <c r="N866" s="55"/>
    </row>
    <row r="867" spans="14:14" x14ac:dyDescent="0.25">
      <c r="N867" s="55"/>
    </row>
    <row r="868" spans="14:14" x14ac:dyDescent="0.25">
      <c r="N868" s="55"/>
    </row>
    <row r="869" spans="14:14" x14ac:dyDescent="0.25">
      <c r="N869" s="55"/>
    </row>
    <row r="870" spans="14:14" x14ac:dyDescent="0.25">
      <c r="N870" s="55"/>
    </row>
    <row r="871" spans="14:14" x14ac:dyDescent="0.25">
      <c r="N871" s="55"/>
    </row>
    <row r="872" spans="14:14" x14ac:dyDescent="0.25">
      <c r="N872" s="55"/>
    </row>
    <row r="873" spans="14:14" x14ac:dyDescent="0.25">
      <c r="N873" s="55"/>
    </row>
    <row r="874" spans="14:14" x14ac:dyDescent="0.25">
      <c r="N874" s="55"/>
    </row>
    <row r="875" spans="14:14" x14ac:dyDescent="0.25">
      <c r="N875" s="55"/>
    </row>
    <row r="876" spans="14:14" x14ac:dyDescent="0.25">
      <c r="N876" s="55"/>
    </row>
    <row r="877" spans="14:14" x14ac:dyDescent="0.25">
      <c r="N877" s="55"/>
    </row>
    <row r="878" spans="14:14" x14ac:dyDescent="0.25">
      <c r="N878" s="55"/>
    </row>
    <row r="879" spans="14:14" x14ac:dyDescent="0.25">
      <c r="N879" s="55"/>
    </row>
    <row r="880" spans="14:14" x14ac:dyDescent="0.25">
      <c r="N880" s="55"/>
    </row>
    <row r="881" spans="14:14" x14ac:dyDescent="0.25">
      <c r="N881" s="55"/>
    </row>
    <row r="882" spans="14:14" x14ac:dyDescent="0.25">
      <c r="N882" s="55"/>
    </row>
    <row r="883" spans="14:14" x14ac:dyDescent="0.25">
      <c r="N883" s="55"/>
    </row>
    <row r="884" spans="14:14" x14ac:dyDescent="0.25">
      <c r="N884" s="55"/>
    </row>
    <row r="885" spans="14:14" x14ac:dyDescent="0.25">
      <c r="N885" s="55"/>
    </row>
    <row r="886" spans="14:14" x14ac:dyDescent="0.25">
      <c r="N886" s="55"/>
    </row>
    <row r="887" spans="14:14" x14ac:dyDescent="0.25">
      <c r="N887" s="55"/>
    </row>
    <row r="888" spans="14:14" x14ac:dyDescent="0.25">
      <c r="N888" s="55"/>
    </row>
    <row r="889" spans="14:14" x14ac:dyDescent="0.25">
      <c r="N889" s="55"/>
    </row>
    <row r="890" spans="14:14" x14ac:dyDescent="0.25">
      <c r="N890" s="55"/>
    </row>
    <row r="891" spans="14:14" x14ac:dyDescent="0.25">
      <c r="N891" s="55"/>
    </row>
    <row r="892" spans="14:14" x14ac:dyDescent="0.25">
      <c r="N892" s="55"/>
    </row>
    <row r="893" spans="14:14" x14ac:dyDescent="0.25">
      <c r="N893" s="55"/>
    </row>
    <row r="894" spans="14:14" x14ac:dyDescent="0.25">
      <c r="N894" s="55"/>
    </row>
    <row r="895" spans="14:14" x14ac:dyDescent="0.25">
      <c r="N895" s="55"/>
    </row>
    <row r="896" spans="14:14" x14ac:dyDescent="0.25">
      <c r="N896" s="55"/>
    </row>
    <row r="897" spans="14:14" x14ac:dyDescent="0.25">
      <c r="N897" s="55"/>
    </row>
    <row r="898" spans="14:14" x14ac:dyDescent="0.25">
      <c r="N898" s="55"/>
    </row>
    <row r="899" spans="14:14" x14ac:dyDescent="0.25">
      <c r="N899" s="55"/>
    </row>
    <row r="900" spans="14:14" x14ac:dyDescent="0.25">
      <c r="N900" s="55"/>
    </row>
    <row r="901" spans="14:14" x14ac:dyDescent="0.25">
      <c r="N901" s="55"/>
    </row>
    <row r="902" spans="14:14" x14ac:dyDescent="0.25">
      <c r="N902" s="55"/>
    </row>
    <row r="903" spans="14:14" x14ac:dyDescent="0.25">
      <c r="N903" s="55"/>
    </row>
    <row r="904" spans="14:14" x14ac:dyDescent="0.25">
      <c r="N904" s="55"/>
    </row>
    <row r="905" spans="14:14" x14ac:dyDescent="0.25">
      <c r="N905" s="55"/>
    </row>
    <row r="906" spans="14:14" x14ac:dyDescent="0.25">
      <c r="N906" s="55"/>
    </row>
    <row r="907" spans="14:14" x14ac:dyDescent="0.25">
      <c r="N907" s="55"/>
    </row>
    <row r="908" spans="14:14" x14ac:dyDescent="0.25">
      <c r="N908" s="55"/>
    </row>
    <row r="909" spans="14:14" x14ac:dyDescent="0.25">
      <c r="N909" s="55"/>
    </row>
    <row r="910" spans="14:14" x14ac:dyDescent="0.25">
      <c r="N910" s="55"/>
    </row>
    <row r="911" spans="14:14" x14ac:dyDescent="0.25">
      <c r="N911" s="55"/>
    </row>
    <row r="912" spans="14:14" x14ac:dyDescent="0.25">
      <c r="N912" s="55"/>
    </row>
    <row r="913" spans="14:14" x14ac:dyDescent="0.25">
      <c r="N913" s="55"/>
    </row>
    <row r="914" spans="14:14" x14ac:dyDescent="0.25">
      <c r="N914" s="55"/>
    </row>
    <row r="915" spans="14:14" x14ac:dyDescent="0.25">
      <c r="N915" s="55"/>
    </row>
    <row r="916" spans="14:14" x14ac:dyDescent="0.25">
      <c r="N916" s="55"/>
    </row>
    <row r="917" spans="14:14" x14ac:dyDescent="0.25">
      <c r="N917" s="55"/>
    </row>
    <row r="918" spans="14:14" x14ac:dyDescent="0.25">
      <c r="N918" s="55"/>
    </row>
    <row r="919" spans="14:14" x14ac:dyDescent="0.25">
      <c r="N919" s="55"/>
    </row>
    <row r="920" spans="14:14" x14ac:dyDescent="0.25">
      <c r="N920" s="55"/>
    </row>
    <row r="921" spans="14:14" x14ac:dyDescent="0.25">
      <c r="N921" s="55"/>
    </row>
    <row r="922" spans="14:14" x14ac:dyDescent="0.25">
      <c r="N922" s="55"/>
    </row>
    <row r="923" spans="14:14" x14ac:dyDescent="0.25">
      <c r="N923" s="55"/>
    </row>
    <row r="924" spans="14:14" x14ac:dyDescent="0.25">
      <c r="N924" s="55"/>
    </row>
    <row r="925" spans="14:14" x14ac:dyDescent="0.25">
      <c r="N925" s="55"/>
    </row>
    <row r="926" spans="14:14" x14ac:dyDescent="0.25">
      <c r="N926" s="55"/>
    </row>
    <row r="927" spans="14:14" x14ac:dyDescent="0.25">
      <c r="N927" s="55"/>
    </row>
    <row r="928" spans="14:14" x14ac:dyDescent="0.25">
      <c r="N928" s="55"/>
    </row>
    <row r="929" spans="14:14" x14ac:dyDescent="0.25">
      <c r="N929" s="55"/>
    </row>
    <row r="930" spans="14:14" x14ac:dyDescent="0.25">
      <c r="N930" s="55"/>
    </row>
    <row r="931" spans="14:14" x14ac:dyDescent="0.25">
      <c r="N931" s="55"/>
    </row>
    <row r="932" spans="14:14" x14ac:dyDescent="0.25">
      <c r="N932" s="55"/>
    </row>
    <row r="933" spans="14:14" x14ac:dyDescent="0.25">
      <c r="N933" s="55"/>
    </row>
    <row r="934" spans="14:14" x14ac:dyDescent="0.25">
      <c r="N934" s="55"/>
    </row>
    <row r="935" spans="14:14" x14ac:dyDescent="0.25">
      <c r="N935" s="55"/>
    </row>
    <row r="936" spans="14:14" x14ac:dyDescent="0.25">
      <c r="N936" s="55"/>
    </row>
    <row r="937" spans="14:14" x14ac:dyDescent="0.25">
      <c r="N937" s="55"/>
    </row>
    <row r="938" spans="14:14" x14ac:dyDescent="0.25">
      <c r="N938" s="55"/>
    </row>
    <row r="939" spans="14:14" x14ac:dyDescent="0.25">
      <c r="N939" s="55"/>
    </row>
    <row r="940" spans="14:14" x14ac:dyDescent="0.25">
      <c r="N940" s="55"/>
    </row>
    <row r="941" spans="14:14" x14ac:dyDescent="0.25">
      <c r="N941" s="55"/>
    </row>
    <row r="942" spans="14:14" x14ac:dyDescent="0.25">
      <c r="N942" s="55"/>
    </row>
    <row r="943" spans="14:14" x14ac:dyDescent="0.25">
      <c r="N943" s="55"/>
    </row>
    <row r="944" spans="14:14" x14ac:dyDescent="0.25">
      <c r="N944" s="55"/>
    </row>
    <row r="945" spans="14:14" x14ac:dyDescent="0.25">
      <c r="N945" s="55"/>
    </row>
    <row r="946" spans="14:14" x14ac:dyDescent="0.25">
      <c r="N946" s="55"/>
    </row>
    <row r="947" spans="14:14" x14ac:dyDescent="0.25">
      <c r="N947" s="55"/>
    </row>
    <row r="948" spans="14:14" x14ac:dyDescent="0.25">
      <c r="N948" s="55"/>
    </row>
    <row r="949" spans="14:14" x14ac:dyDescent="0.25">
      <c r="N949" s="55"/>
    </row>
    <row r="950" spans="14:14" x14ac:dyDescent="0.25">
      <c r="N950" s="55"/>
    </row>
    <row r="951" spans="14:14" x14ac:dyDescent="0.25">
      <c r="N951" s="55"/>
    </row>
    <row r="952" spans="14:14" x14ac:dyDescent="0.25">
      <c r="N952" s="55"/>
    </row>
    <row r="953" spans="14:14" x14ac:dyDescent="0.25">
      <c r="N953" s="55"/>
    </row>
    <row r="954" spans="14:14" x14ac:dyDescent="0.25">
      <c r="N954" s="55"/>
    </row>
    <row r="955" spans="14:14" x14ac:dyDescent="0.25">
      <c r="N955" s="55"/>
    </row>
    <row r="956" spans="14:14" x14ac:dyDescent="0.25">
      <c r="N956" s="55"/>
    </row>
    <row r="957" spans="14:14" x14ac:dyDescent="0.25">
      <c r="N957" s="55"/>
    </row>
    <row r="958" spans="14:14" x14ac:dyDescent="0.25">
      <c r="N958" s="55"/>
    </row>
    <row r="959" spans="14:14" x14ac:dyDescent="0.25">
      <c r="N959" s="55"/>
    </row>
    <row r="960" spans="14:14" x14ac:dyDescent="0.25">
      <c r="N960" s="55"/>
    </row>
    <row r="961" spans="14:14" x14ac:dyDescent="0.25">
      <c r="N961" s="55"/>
    </row>
    <row r="962" spans="14:14" x14ac:dyDescent="0.25">
      <c r="N962" s="55"/>
    </row>
    <row r="963" spans="14:14" x14ac:dyDescent="0.25">
      <c r="N963" s="55"/>
    </row>
    <row r="964" spans="14:14" x14ac:dyDescent="0.25">
      <c r="N964" s="55"/>
    </row>
    <row r="965" spans="14:14" x14ac:dyDescent="0.25">
      <c r="N965" s="55"/>
    </row>
    <row r="966" spans="14:14" x14ac:dyDescent="0.25">
      <c r="N966" s="55"/>
    </row>
    <row r="967" spans="14:14" x14ac:dyDescent="0.25">
      <c r="N967" s="55"/>
    </row>
    <row r="968" spans="14:14" x14ac:dyDescent="0.25">
      <c r="N968" s="55"/>
    </row>
    <row r="969" spans="14:14" x14ac:dyDescent="0.25">
      <c r="N969" s="55"/>
    </row>
    <row r="970" spans="14:14" x14ac:dyDescent="0.25">
      <c r="N970" s="55"/>
    </row>
    <row r="971" spans="14:14" x14ac:dyDescent="0.25">
      <c r="N971" s="55"/>
    </row>
    <row r="972" spans="14:14" x14ac:dyDescent="0.25">
      <c r="N972" s="55"/>
    </row>
    <row r="973" spans="14:14" x14ac:dyDescent="0.25">
      <c r="N973" s="55"/>
    </row>
    <row r="974" spans="14:14" x14ac:dyDescent="0.25">
      <c r="N974" s="55"/>
    </row>
    <row r="975" spans="14:14" x14ac:dyDescent="0.25">
      <c r="N975" s="55"/>
    </row>
    <row r="976" spans="14:14" x14ac:dyDescent="0.25">
      <c r="N976" s="55"/>
    </row>
    <row r="977" spans="14:14" x14ac:dyDescent="0.25">
      <c r="N977" s="55"/>
    </row>
    <row r="978" spans="14:14" x14ac:dyDescent="0.25">
      <c r="N978" s="55"/>
    </row>
    <row r="979" spans="14:14" x14ac:dyDescent="0.25">
      <c r="N979" s="55"/>
    </row>
    <row r="980" spans="14:14" x14ac:dyDescent="0.25">
      <c r="N980" s="55"/>
    </row>
    <row r="981" spans="14:14" x14ac:dyDescent="0.25">
      <c r="N981" s="55"/>
    </row>
    <row r="982" spans="14:14" x14ac:dyDescent="0.25">
      <c r="N982" s="55"/>
    </row>
    <row r="983" spans="14:14" x14ac:dyDescent="0.25">
      <c r="N983" s="55"/>
    </row>
    <row r="984" spans="14:14" x14ac:dyDescent="0.25">
      <c r="N984" s="55"/>
    </row>
    <row r="985" spans="14:14" x14ac:dyDescent="0.25">
      <c r="N985" s="55"/>
    </row>
    <row r="986" spans="14:14" x14ac:dyDescent="0.25">
      <c r="N986" s="55"/>
    </row>
    <row r="987" spans="14:14" x14ac:dyDescent="0.25">
      <c r="N987" s="55"/>
    </row>
    <row r="988" spans="14:14" x14ac:dyDescent="0.25">
      <c r="N988" s="55"/>
    </row>
    <row r="989" spans="14:14" x14ac:dyDescent="0.25">
      <c r="N989" s="55"/>
    </row>
    <row r="990" spans="14:14" x14ac:dyDescent="0.25">
      <c r="N990" s="55"/>
    </row>
    <row r="991" spans="14:14" x14ac:dyDescent="0.25">
      <c r="N991" s="55"/>
    </row>
    <row r="992" spans="14:14" x14ac:dyDescent="0.25">
      <c r="N992" s="55"/>
    </row>
    <row r="993" spans="14:14" x14ac:dyDescent="0.25">
      <c r="N993" s="55"/>
    </row>
    <row r="994" spans="14:14" x14ac:dyDescent="0.25">
      <c r="N994" s="55"/>
    </row>
    <row r="995" spans="14:14" x14ac:dyDescent="0.25">
      <c r="N995" s="55"/>
    </row>
    <row r="996" spans="14:14" x14ac:dyDescent="0.25">
      <c r="N996" s="55"/>
    </row>
    <row r="997" spans="14:14" x14ac:dyDescent="0.25">
      <c r="N997" s="55"/>
    </row>
    <row r="998" spans="14:14" x14ac:dyDescent="0.25">
      <c r="N998" s="55"/>
    </row>
    <row r="999" spans="14:14" x14ac:dyDescent="0.25">
      <c r="N999" s="55"/>
    </row>
    <row r="1000" spans="14:14" x14ac:dyDescent="0.25">
      <c r="N1000" s="55"/>
    </row>
    <row r="1001" spans="14:14" x14ac:dyDescent="0.25">
      <c r="N1001" s="55"/>
    </row>
    <row r="1002" spans="14:14" x14ac:dyDescent="0.25">
      <c r="N1002" s="55"/>
    </row>
    <row r="1003" spans="14:14" x14ac:dyDescent="0.25">
      <c r="N1003" s="55"/>
    </row>
    <row r="1004" spans="14:14" x14ac:dyDescent="0.25">
      <c r="N1004" s="55"/>
    </row>
    <row r="1005" spans="14:14" x14ac:dyDescent="0.25">
      <c r="N1005" s="55"/>
    </row>
    <row r="1006" spans="14:14" x14ac:dyDescent="0.25">
      <c r="N1006" s="55"/>
    </row>
    <row r="1007" spans="14:14" x14ac:dyDescent="0.25">
      <c r="N1007" s="55"/>
    </row>
    <row r="1008" spans="14:14" x14ac:dyDescent="0.25">
      <c r="N1008" s="55"/>
    </row>
    <row r="1009" spans="14:14" x14ac:dyDescent="0.25">
      <c r="N1009" s="55"/>
    </row>
    <row r="1010" spans="14:14" x14ac:dyDescent="0.25">
      <c r="N1010" s="55"/>
    </row>
    <row r="1011" spans="14:14" x14ac:dyDescent="0.25">
      <c r="N1011" s="55"/>
    </row>
    <row r="1012" spans="14:14" x14ac:dyDescent="0.25">
      <c r="N1012" s="55"/>
    </row>
    <row r="1013" spans="14:14" x14ac:dyDescent="0.25">
      <c r="N1013" s="55"/>
    </row>
    <row r="1014" spans="14:14" x14ac:dyDescent="0.25">
      <c r="N1014" s="55"/>
    </row>
    <row r="1015" spans="14:14" x14ac:dyDescent="0.25">
      <c r="N1015" s="55"/>
    </row>
    <row r="1016" spans="14:14" x14ac:dyDescent="0.25">
      <c r="N1016" s="55"/>
    </row>
    <row r="1017" spans="14:14" x14ac:dyDescent="0.25">
      <c r="N1017" s="55"/>
    </row>
    <row r="1018" spans="14:14" x14ac:dyDescent="0.25">
      <c r="N1018" s="55"/>
    </row>
    <row r="1019" spans="14:14" x14ac:dyDescent="0.25">
      <c r="N1019" s="55"/>
    </row>
    <row r="1020" spans="14:14" x14ac:dyDescent="0.25">
      <c r="N1020" s="55"/>
    </row>
    <row r="1021" spans="14:14" x14ac:dyDescent="0.25">
      <c r="N1021" s="55"/>
    </row>
    <row r="1022" spans="14:14" x14ac:dyDescent="0.25">
      <c r="N1022" s="55"/>
    </row>
    <row r="1023" spans="14:14" x14ac:dyDescent="0.25">
      <c r="N1023" s="55"/>
    </row>
    <row r="1024" spans="14:14" x14ac:dyDescent="0.25">
      <c r="N1024" s="55"/>
    </row>
    <row r="1025" spans="14:14" x14ac:dyDescent="0.25">
      <c r="N1025" s="55"/>
    </row>
    <row r="1026" spans="14:14" x14ac:dyDescent="0.25">
      <c r="N1026" s="55"/>
    </row>
    <row r="1027" spans="14:14" x14ac:dyDescent="0.25">
      <c r="N1027" s="55"/>
    </row>
    <row r="1028" spans="14:14" x14ac:dyDescent="0.25">
      <c r="N1028" s="55"/>
    </row>
    <row r="1029" spans="14:14" x14ac:dyDescent="0.25">
      <c r="N1029" s="55"/>
    </row>
    <row r="1030" spans="14:14" x14ac:dyDescent="0.25">
      <c r="N1030" s="55"/>
    </row>
    <row r="1031" spans="14:14" x14ac:dyDescent="0.25">
      <c r="N1031" s="55"/>
    </row>
    <row r="1032" spans="14:14" x14ac:dyDescent="0.25">
      <c r="N1032" s="55"/>
    </row>
    <row r="1033" spans="14:14" x14ac:dyDescent="0.25">
      <c r="N1033" s="55"/>
    </row>
    <row r="1034" spans="14:14" x14ac:dyDescent="0.25">
      <c r="N1034" s="55"/>
    </row>
    <row r="1035" spans="14:14" x14ac:dyDescent="0.25">
      <c r="N1035" s="55"/>
    </row>
    <row r="1036" spans="14:14" x14ac:dyDescent="0.25">
      <c r="N1036" s="55"/>
    </row>
    <row r="1037" spans="14:14" x14ac:dyDescent="0.25">
      <c r="N1037" s="55"/>
    </row>
    <row r="1038" spans="14:14" x14ac:dyDescent="0.25">
      <c r="N1038" s="55"/>
    </row>
    <row r="1039" spans="14:14" x14ac:dyDescent="0.25">
      <c r="N1039" s="55"/>
    </row>
    <row r="1040" spans="14:14" x14ac:dyDescent="0.25">
      <c r="N1040" s="55"/>
    </row>
    <row r="1041" spans="14:14" x14ac:dyDescent="0.25">
      <c r="N1041" s="55"/>
    </row>
    <row r="1042" spans="14:14" x14ac:dyDescent="0.25">
      <c r="N1042" s="55"/>
    </row>
    <row r="1043" spans="14:14" x14ac:dyDescent="0.25">
      <c r="N1043" s="55"/>
    </row>
    <row r="1044" spans="14:14" x14ac:dyDescent="0.25">
      <c r="N1044" s="55"/>
    </row>
    <row r="1045" spans="14:14" x14ac:dyDescent="0.25">
      <c r="N1045" s="55"/>
    </row>
    <row r="1046" spans="14:14" x14ac:dyDescent="0.25">
      <c r="N1046" s="55"/>
    </row>
    <row r="1047" spans="14:14" x14ac:dyDescent="0.25">
      <c r="N1047" s="55"/>
    </row>
    <row r="1048" spans="14:14" x14ac:dyDescent="0.25">
      <c r="N1048" s="55"/>
    </row>
    <row r="1049" spans="14:14" x14ac:dyDescent="0.25">
      <c r="N1049" s="55"/>
    </row>
    <row r="1050" spans="14:14" x14ac:dyDescent="0.25">
      <c r="N1050" s="55"/>
    </row>
    <row r="1051" spans="14:14" x14ac:dyDescent="0.25">
      <c r="N1051" s="55"/>
    </row>
    <row r="1052" spans="14:14" x14ac:dyDescent="0.25">
      <c r="N1052" s="55"/>
    </row>
    <row r="1053" spans="14:14" x14ac:dyDescent="0.25">
      <c r="N1053" s="55"/>
    </row>
    <row r="1054" spans="14:14" x14ac:dyDescent="0.25">
      <c r="N1054" s="55"/>
    </row>
    <row r="1055" spans="14:14" x14ac:dyDescent="0.25">
      <c r="N1055" s="55"/>
    </row>
    <row r="1056" spans="14:14" x14ac:dyDescent="0.25">
      <c r="N1056" s="55"/>
    </row>
    <row r="1057" spans="14:14" x14ac:dyDescent="0.25">
      <c r="N1057" s="55"/>
    </row>
    <row r="1058" spans="14:14" x14ac:dyDescent="0.25">
      <c r="N1058" s="55"/>
    </row>
    <row r="1059" spans="14:14" x14ac:dyDescent="0.25">
      <c r="N1059" s="55"/>
    </row>
    <row r="1060" spans="14:14" x14ac:dyDescent="0.25">
      <c r="N1060" s="55"/>
    </row>
    <row r="1061" spans="14:14" x14ac:dyDescent="0.25">
      <c r="N1061" s="55"/>
    </row>
    <row r="1062" spans="14:14" x14ac:dyDescent="0.25">
      <c r="N1062" s="55"/>
    </row>
    <row r="1063" spans="14:14" x14ac:dyDescent="0.25">
      <c r="N1063" s="55"/>
    </row>
    <row r="1064" spans="14:14" x14ac:dyDescent="0.25">
      <c r="N1064" s="55"/>
    </row>
    <row r="1065" spans="14:14" x14ac:dyDescent="0.25">
      <c r="N1065" s="55"/>
    </row>
    <row r="1066" spans="14:14" x14ac:dyDescent="0.25">
      <c r="N1066" s="55"/>
    </row>
    <row r="1067" spans="14:14" x14ac:dyDescent="0.25">
      <c r="N1067" s="55"/>
    </row>
    <row r="1068" spans="14:14" x14ac:dyDescent="0.25">
      <c r="N1068" s="55"/>
    </row>
    <row r="1069" spans="14:14" x14ac:dyDescent="0.25">
      <c r="N1069" s="55"/>
    </row>
    <row r="1070" spans="14:14" x14ac:dyDescent="0.25">
      <c r="N1070" s="55"/>
    </row>
    <row r="1071" spans="14:14" x14ac:dyDescent="0.25">
      <c r="N1071" s="55"/>
    </row>
    <row r="1072" spans="14:14" x14ac:dyDescent="0.25">
      <c r="N1072" s="55"/>
    </row>
    <row r="1073" spans="14:14" x14ac:dyDescent="0.25">
      <c r="N1073" s="55"/>
    </row>
    <row r="1074" spans="14:14" x14ac:dyDescent="0.25">
      <c r="N1074" s="55"/>
    </row>
    <row r="1075" spans="14:14" x14ac:dyDescent="0.25">
      <c r="N1075" s="55"/>
    </row>
    <row r="1076" spans="14:14" x14ac:dyDescent="0.25">
      <c r="N1076" s="55"/>
    </row>
    <row r="1077" spans="14:14" x14ac:dyDescent="0.25">
      <c r="N1077" s="55"/>
    </row>
    <row r="1078" spans="14:14" x14ac:dyDescent="0.25">
      <c r="N1078" s="55"/>
    </row>
    <row r="1079" spans="14:14" x14ac:dyDescent="0.25">
      <c r="N1079" s="55"/>
    </row>
    <row r="1080" spans="14:14" x14ac:dyDescent="0.25">
      <c r="N1080" s="55"/>
    </row>
    <row r="1081" spans="14:14" x14ac:dyDescent="0.25">
      <c r="N1081" s="55"/>
    </row>
    <row r="1082" spans="14:14" x14ac:dyDescent="0.25">
      <c r="N1082" s="55"/>
    </row>
    <row r="1083" spans="14:14" x14ac:dyDescent="0.25">
      <c r="N1083" s="55"/>
    </row>
    <row r="1084" spans="14:14" x14ac:dyDescent="0.25">
      <c r="N1084" s="55"/>
    </row>
    <row r="1085" spans="14:14" x14ac:dyDescent="0.25">
      <c r="N1085" s="55"/>
    </row>
    <row r="1086" spans="14:14" x14ac:dyDescent="0.25">
      <c r="N1086" s="55"/>
    </row>
    <row r="1087" spans="14:14" x14ac:dyDescent="0.25">
      <c r="N1087" s="55"/>
    </row>
    <row r="1088" spans="14:14" x14ac:dyDescent="0.25">
      <c r="N1088" s="55"/>
    </row>
    <row r="1089" spans="14:14" x14ac:dyDescent="0.25">
      <c r="N1089" s="55"/>
    </row>
    <row r="1090" spans="14:14" x14ac:dyDescent="0.25">
      <c r="N1090" s="55"/>
    </row>
    <row r="1091" spans="14:14" x14ac:dyDescent="0.25">
      <c r="N1091" s="55"/>
    </row>
    <row r="1092" spans="14:14" x14ac:dyDescent="0.25">
      <c r="N1092" s="55"/>
    </row>
    <row r="1093" spans="14:14" x14ac:dyDescent="0.25">
      <c r="N1093" s="55"/>
    </row>
    <row r="1094" spans="14:14" x14ac:dyDescent="0.25">
      <c r="N1094" s="55"/>
    </row>
    <row r="1095" spans="14:14" x14ac:dyDescent="0.25">
      <c r="N1095" s="55"/>
    </row>
    <row r="1096" spans="14:14" x14ac:dyDescent="0.25">
      <c r="N1096" s="55"/>
    </row>
    <row r="1097" spans="14:14" x14ac:dyDescent="0.25">
      <c r="N1097" s="55"/>
    </row>
    <row r="1098" spans="14:14" x14ac:dyDescent="0.25">
      <c r="N1098" s="55"/>
    </row>
    <row r="1099" spans="14:14" x14ac:dyDescent="0.25">
      <c r="N1099" s="55"/>
    </row>
    <row r="1100" spans="14:14" x14ac:dyDescent="0.25">
      <c r="N1100" s="55"/>
    </row>
    <row r="1101" spans="14:14" x14ac:dyDescent="0.25">
      <c r="N1101" s="55"/>
    </row>
    <row r="1102" spans="14:14" x14ac:dyDescent="0.25">
      <c r="N1102" s="55"/>
    </row>
    <row r="1103" spans="14:14" x14ac:dyDescent="0.25">
      <c r="N1103" s="55"/>
    </row>
    <row r="1104" spans="14:14" x14ac:dyDescent="0.25">
      <c r="N1104" s="55"/>
    </row>
    <row r="1105" spans="14:14" x14ac:dyDescent="0.25">
      <c r="N1105" s="55"/>
    </row>
    <row r="1106" spans="14:14" x14ac:dyDescent="0.25">
      <c r="N1106" s="55"/>
    </row>
    <row r="1107" spans="14:14" x14ac:dyDescent="0.25">
      <c r="N1107" s="55"/>
    </row>
    <row r="1108" spans="14:14" x14ac:dyDescent="0.25">
      <c r="N1108" s="55"/>
    </row>
    <row r="1109" spans="14:14" x14ac:dyDescent="0.25">
      <c r="N1109" s="55"/>
    </row>
    <row r="1110" spans="14:14" x14ac:dyDescent="0.25">
      <c r="N1110" s="55"/>
    </row>
    <row r="1111" spans="14:14" x14ac:dyDescent="0.25">
      <c r="N1111" s="55"/>
    </row>
    <row r="1112" spans="14:14" x14ac:dyDescent="0.25">
      <c r="N1112" s="55"/>
    </row>
    <row r="1113" spans="14:14" x14ac:dyDescent="0.25">
      <c r="N1113" s="55"/>
    </row>
    <row r="1114" spans="14:14" x14ac:dyDescent="0.25">
      <c r="N1114" s="55"/>
    </row>
    <row r="1115" spans="14:14" x14ac:dyDescent="0.25">
      <c r="N1115" s="55"/>
    </row>
    <row r="1116" spans="14:14" x14ac:dyDescent="0.25">
      <c r="N1116" s="55"/>
    </row>
    <row r="1117" spans="14:14" x14ac:dyDescent="0.25">
      <c r="N1117" s="55"/>
    </row>
    <row r="1118" spans="14:14" x14ac:dyDescent="0.25">
      <c r="N1118" s="55"/>
    </row>
    <row r="1119" spans="14:14" x14ac:dyDescent="0.25">
      <c r="N1119" s="55"/>
    </row>
    <row r="1120" spans="14:14" x14ac:dyDescent="0.25">
      <c r="N1120" s="55"/>
    </row>
    <row r="1121" spans="14:14" x14ac:dyDescent="0.25">
      <c r="N1121" s="55"/>
    </row>
    <row r="1122" spans="14:14" x14ac:dyDescent="0.25">
      <c r="N1122" s="55"/>
    </row>
    <row r="1123" spans="14:14" x14ac:dyDescent="0.25">
      <c r="N1123" s="55"/>
    </row>
    <row r="1124" spans="14:14" x14ac:dyDescent="0.25">
      <c r="N1124" s="55"/>
    </row>
    <row r="1125" spans="14:14" x14ac:dyDescent="0.25">
      <c r="N1125" s="55"/>
    </row>
    <row r="1126" spans="14:14" x14ac:dyDescent="0.25">
      <c r="N1126" s="55"/>
    </row>
    <row r="1127" spans="14:14" x14ac:dyDescent="0.25">
      <c r="N1127" s="55"/>
    </row>
    <row r="1128" spans="14:14" x14ac:dyDescent="0.25">
      <c r="N1128" s="55"/>
    </row>
    <row r="1129" spans="14:14" x14ac:dyDescent="0.25">
      <c r="N1129" s="55"/>
    </row>
    <row r="1130" spans="14:14" x14ac:dyDescent="0.25">
      <c r="N1130" s="55"/>
    </row>
    <row r="1131" spans="14:14" x14ac:dyDescent="0.25">
      <c r="N1131" s="55"/>
    </row>
    <row r="1132" spans="14:14" x14ac:dyDescent="0.25">
      <c r="N1132" s="55"/>
    </row>
    <row r="1133" spans="14:14" x14ac:dyDescent="0.25">
      <c r="N1133" s="55"/>
    </row>
    <row r="1134" spans="14:14" x14ac:dyDescent="0.25">
      <c r="N1134" s="55"/>
    </row>
    <row r="1135" spans="14:14" x14ac:dyDescent="0.25">
      <c r="N1135" s="55"/>
    </row>
    <row r="1136" spans="14:14" x14ac:dyDescent="0.25">
      <c r="N1136" s="55"/>
    </row>
    <row r="1137" spans="14:14" x14ac:dyDescent="0.25">
      <c r="N1137" s="55"/>
    </row>
    <row r="1138" spans="14:14" x14ac:dyDescent="0.25">
      <c r="N1138" s="55"/>
    </row>
    <row r="1139" spans="14:14" x14ac:dyDescent="0.25">
      <c r="N1139" s="55"/>
    </row>
    <row r="1140" spans="14:14" x14ac:dyDescent="0.25">
      <c r="N1140" s="55"/>
    </row>
    <row r="1141" spans="14:14" x14ac:dyDescent="0.25">
      <c r="N1141" s="55"/>
    </row>
    <row r="1142" spans="14:14" x14ac:dyDescent="0.25">
      <c r="N1142" s="55"/>
    </row>
    <row r="1143" spans="14:14" x14ac:dyDescent="0.25">
      <c r="N1143" s="55"/>
    </row>
    <row r="1144" spans="14:14" x14ac:dyDescent="0.25">
      <c r="N1144" s="55"/>
    </row>
    <row r="1145" spans="14:14" x14ac:dyDescent="0.25">
      <c r="N1145" s="55"/>
    </row>
    <row r="1146" spans="14:14" x14ac:dyDescent="0.25">
      <c r="N1146" s="55"/>
    </row>
    <row r="1147" spans="14:14" x14ac:dyDescent="0.25">
      <c r="N1147" s="55"/>
    </row>
    <row r="1148" spans="14:14" x14ac:dyDescent="0.25">
      <c r="N1148" s="55"/>
    </row>
    <row r="1149" spans="14:14" x14ac:dyDescent="0.25">
      <c r="N1149" s="55"/>
    </row>
    <row r="1150" spans="14:14" x14ac:dyDescent="0.25">
      <c r="N1150" s="55"/>
    </row>
    <row r="1151" spans="14:14" x14ac:dyDescent="0.25">
      <c r="N1151" s="55"/>
    </row>
    <row r="1152" spans="14:14" x14ac:dyDescent="0.25">
      <c r="N1152" s="55"/>
    </row>
    <row r="1153" spans="14:14" x14ac:dyDescent="0.25">
      <c r="N1153" s="55"/>
    </row>
    <row r="1154" spans="14:14" x14ac:dyDescent="0.25">
      <c r="N1154" s="55"/>
    </row>
    <row r="1155" spans="14:14" x14ac:dyDescent="0.25">
      <c r="N1155" s="55"/>
    </row>
    <row r="1156" spans="14:14" x14ac:dyDescent="0.25">
      <c r="N1156" s="55"/>
    </row>
    <row r="1157" spans="14:14" x14ac:dyDescent="0.25">
      <c r="N1157" s="55"/>
    </row>
    <row r="1158" spans="14:14" x14ac:dyDescent="0.25">
      <c r="N1158" s="55"/>
    </row>
    <row r="1159" spans="14:14" x14ac:dyDescent="0.25">
      <c r="N1159" s="55"/>
    </row>
    <row r="1160" spans="14:14" x14ac:dyDescent="0.25">
      <c r="N1160" s="55"/>
    </row>
    <row r="1161" spans="14:14" x14ac:dyDescent="0.25">
      <c r="N1161" s="55"/>
    </row>
    <row r="1162" spans="14:14" x14ac:dyDescent="0.25">
      <c r="N1162" s="55"/>
    </row>
    <row r="1163" spans="14:14" x14ac:dyDescent="0.25">
      <c r="N1163" s="55"/>
    </row>
    <row r="1164" spans="14:14" x14ac:dyDescent="0.25">
      <c r="N1164" s="55"/>
    </row>
    <row r="1165" spans="14:14" x14ac:dyDescent="0.25">
      <c r="N1165" s="55"/>
    </row>
    <row r="1166" spans="14:14" x14ac:dyDescent="0.25">
      <c r="N1166" s="55"/>
    </row>
    <row r="1167" spans="14:14" x14ac:dyDescent="0.25">
      <c r="N1167" s="55"/>
    </row>
    <row r="1168" spans="14:14" x14ac:dyDescent="0.25">
      <c r="N1168" s="55"/>
    </row>
    <row r="1169" spans="14:14" x14ac:dyDescent="0.25">
      <c r="N1169" s="55"/>
    </row>
    <row r="1170" spans="14:14" x14ac:dyDescent="0.25">
      <c r="N1170" s="55"/>
    </row>
    <row r="1171" spans="14:14" x14ac:dyDescent="0.25">
      <c r="N1171" s="55"/>
    </row>
    <row r="1172" spans="14:14" x14ac:dyDescent="0.25">
      <c r="N1172" s="55"/>
    </row>
    <row r="1173" spans="14:14" x14ac:dyDescent="0.25">
      <c r="N1173" s="55"/>
    </row>
    <row r="1174" spans="14:14" x14ac:dyDescent="0.25">
      <c r="N1174" s="55"/>
    </row>
    <row r="1175" spans="14:14" x14ac:dyDescent="0.25">
      <c r="N1175" s="55"/>
    </row>
    <row r="1176" spans="14:14" x14ac:dyDescent="0.25">
      <c r="N1176" s="55"/>
    </row>
    <row r="1177" spans="14:14" x14ac:dyDescent="0.25">
      <c r="N1177" s="55"/>
    </row>
    <row r="1178" spans="14:14" x14ac:dyDescent="0.25">
      <c r="N1178" s="55"/>
    </row>
    <row r="1179" spans="14:14" x14ac:dyDescent="0.25">
      <c r="N1179" s="55"/>
    </row>
    <row r="1180" spans="14:14" x14ac:dyDescent="0.25">
      <c r="N1180" s="55"/>
    </row>
    <row r="1181" spans="14:14" x14ac:dyDescent="0.25">
      <c r="N1181" s="55"/>
    </row>
    <row r="1182" spans="14:14" x14ac:dyDescent="0.25">
      <c r="N1182" s="55"/>
    </row>
    <row r="1183" spans="14:14" x14ac:dyDescent="0.25">
      <c r="N1183" s="55"/>
    </row>
    <row r="1184" spans="14:14" x14ac:dyDescent="0.25">
      <c r="N1184" s="55"/>
    </row>
    <row r="1185" spans="14:14" x14ac:dyDescent="0.25">
      <c r="N1185" s="55"/>
    </row>
    <row r="1186" spans="14:14" x14ac:dyDescent="0.25">
      <c r="N1186" s="55"/>
    </row>
    <row r="1187" spans="14:14" x14ac:dyDescent="0.25">
      <c r="N1187" s="55"/>
    </row>
    <row r="1188" spans="14:14" x14ac:dyDescent="0.25">
      <c r="N1188" s="55"/>
    </row>
    <row r="1189" spans="14:14" x14ac:dyDescent="0.25">
      <c r="N1189" s="55"/>
    </row>
    <row r="1190" spans="14:14" x14ac:dyDescent="0.25">
      <c r="N1190" s="55"/>
    </row>
    <row r="1191" spans="14:14" x14ac:dyDescent="0.25">
      <c r="N1191" s="55"/>
    </row>
    <row r="1192" spans="14:14" x14ac:dyDescent="0.25">
      <c r="N1192" s="55"/>
    </row>
    <row r="1193" spans="14:14" x14ac:dyDescent="0.25">
      <c r="N1193" s="55"/>
    </row>
    <row r="1194" spans="14:14" x14ac:dyDescent="0.25">
      <c r="N1194" s="55"/>
    </row>
    <row r="1195" spans="14:14" x14ac:dyDescent="0.25">
      <c r="N1195" s="55"/>
    </row>
    <row r="1196" spans="14:14" x14ac:dyDescent="0.25">
      <c r="N1196" s="55"/>
    </row>
    <row r="1197" spans="14:14" x14ac:dyDescent="0.25">
      <c r="N1197" s="55"/>
    </row>
    <row r="1198" spans="14:14" x14ac:dyDescent="0.25">
      <c r="N1198" s="55"/>
    </row>
    <row r="1199" spans="14:14" x14ac:dyDescent="0.25">
      <c r="N1199" s="55"/>
    </row>
    <row r="1200" spans="14:14" x14ac:dyDescent="0.25">
      <c r="N1200" s="55"/>
    </row>
    <row r="1201" spans="14:14" x14ac:dyDescent="0.25">
      <c r="N1201" s="55"/>
    </row>
    <row r="1202" spans="14:14" x14ac:dyDescent="0.25">
      <c r="N1202" s="55"/>
    </row>
    <row r="1203" spans="14:14" x14ac:dyDescent="0.25">
      <c r="N1203" s="55"/>
    </row>
    <row r="1204" spans="14:14" x14ac:dyDescent="0.25">
      <c r="N1204" s="55"/>
    </row>
    <row r="1205" spans="14:14" x14ac:dyDescent="0.25">
      <c r="N1205" s="55"/>
    </row>
    <row r="1206" spans="14:14" x14ac:dyDescent="0.25">
      <c r="N1206" s="55"/>
    </row>
    <row r="1207" spans="14:14" x14ac:dyDescent="0.25">
      <c r="N1207" s="55"/>
    </row>
    <row r="1208" spans="14:14" x14ac:dyDescent="0.25">
      <c r="N1208" s="55"/>
    </row>
    <row r="1209" spans="14:14" x14ac:dyDescent="0.25">
      <c r="N1209" s="55"/>
    </row>
    <row r="1210" spans="14:14" x14ac:dyDescent="0.25">
      <c r="N1210" s="55"/>
    </row>
    <row r="1211" spans="14:14" x14ac:dyDescent="0.25">
      <c r="N1211" s="55"/>
    </row>
    <row r="1212" spans="14:14" x14ac:dyDescent="0.25">
      <c r="N1212" s="55"/>
    </row>
    <row r="1213" spans="14:14" x14ac:dyDescent="0.25">
      <c r="N1213" s="55"/>
    </row>
    <row r="1214" spans="14:14" x14ac:dyDescent="0.25">
      <c r="N1214" s="55"/>
    </row>
    <row r="1215" spans="14:14" x14ac:dyDescent="0.25">
      <c r="N1215" s="55"/>
    </row>
    <row r="1216" spans="14:14" x14ac:dyDescent="0.25">
      <c r="N1216" s="55"/>
    </row>
    <row r="1217" spans="14:14" x14ac:dyDescent="0.25">
      <c r="N1217" s="55"/>
    </row>
    <row r="1218" spans="14:14" x14ac:dyDescent="0.25">
      <c r="N1218" s="55"/>
    </row>
    <row r="1219" spans="14:14" x14ac:dyDescent="0.25">
      <c r="N1219" s="55"/>
    </row>
    <row r="1220" spans="14:14" x14ac:dyDescent="0.25">
      <c r="N1220" s="55"/>
    </row>
    <row r="1221" spans="14:14" x14ac:dyDescent="0.25">
      <c r="N1221" s="55"/>
    </row>
    <row r="1222" spans="14:14" x14ac:dyDescent="0.25">
      <c r="N1222" s="55"/>
    </row>
    <row r="1223" spans="14:14" x14ac:dyDescent="0.25">
      <c r="N1223" s="55"/>
    </row>
    <row r="1224" spans="14:14" x14ac:dyDescent="0.25">
      <c r="N1224" s="55"/>
    </row>
    <row r="1225" spans="14:14" x14ac:dyDescent="0.25">
      <c r="N1225" s="55"/>
    </row>
    <row r="1226" spans="14:14" x14ac:dyDescent="0.25">
      <c r="N1226" s="55"/>
    </row>
    <row r="1227" spans="14:14" x14ac:dyDescent="0.25">
      <c r="N1227" s="55"/>
    </row>
    <row r="1228" spans="14:14" x14ac:dyDescent="0.25">
      <c r="N1228" s="55"/>
    </row>
    <row r="1229" spans="14:14" x14ac:dyDescent="0.25">
      <c r="N1229" s="55"/>
    </row>
    <row r="1230" spans="14:14" x14ac:dyDescent="0.25">
      <c r="N1230" s="55"/>
    </row>
    <row r="1231" spans="14:14" x14ac:dyDescent="0.25">
      <c r="N1231" s="55"/>
    </row>
    <row r="1232" spans="14:14" x14ac:dyDescent="0.25">
      <c r="N1232" s="55"/>
    </row>
    <row r="1233" spans="14:14" x14ac:dyDescent="0.25">
      <c r="N1233" s="55"/>
    </row>
    <row r="1234" spans="14:14" x14ac:dyDescent="0.25">
      <c r="N1234" s="55"/>
    </row>
    <row r="1235" spans="14:14" x14ac:dyDescent="0.25">
      <c r="N1235" s="55"/>
    </row>
    <row r="1236" spans="14:14" x14ac:dyDescent="0.25">
      <c r="N1236" s="55"/>
    </row>
    <row r="1237" spans="14:14" x14ac:dyDescent="0.25">
      <c r="N1237" s="55"/>
    </row>
    <row r="1238" spans="14:14" x14ac:dyDescent="0.25">
      <c r="N1238" s="55"/>
    </row>
    <row r="1239" spans="14:14" x14ac:dyDescent="0.25">
      <c r="N1239" s="55"/>
    </row>
    <row r="1240" spans="14:14" x14ac:dyDescent="0.25">
      <c r="N1240" s="55"/>
    </row>
    <row r="1241" spans="14:14" x14ac:dyDescent="0.25">
      <c r="N1241" s="55"/>
    </row>
    <row r="1242" spans="14:14" x14ac:dyDescent="0.25">
      <c r="N1242" s="55"/>
    </row>
    <row r="1243" spans="14:14" x14ac:dyDescent="0.25">
      <c r="N1243" s="55"/>
    </row>
    <row r="1244" spans="14:14" x14ac:dyDescent="0.25">
      <c r="N1244" s="55"/>
    </row>
    <row r="1245" spans="14:14" x14ac:dyDescent="0.25">
      <c r="N1245" s="55"/>
    </row>
    <row r="1246" spans="14:14" x14ac:dyDescent="0.25">
      <c r="N1246" s="55"/>
    </row>
    <row r="1247" spans="14:14" x14ac:dyDescent="0.25">
      <c r="N1247" s="55"/>
    </row>
    <row r="1248" spans="14:14" x14ac:dyDescent="0.25">
      <c r="N1248" s="55"/>
    </row>
    <row r="1249" spans="14:14" x14ac:dyDescent="0.25">
      <c r="N1249" s="55"/>
    </row>
    <row r="1250" spans="14:14" x14ac:dyDescent="0.25">
      <c r="N1250" s="55"/>
    </row>
    <row r="1251" spans="14:14" x14ac:dyDescent="0.25">
      <c r="N1251" s="55"/>
    </row>
    <row r="1252" spans="14:14" x14ac:dyDescent="0.25">
      <c r="N1252" s="55"/>
    </row>
    <row r="1253" spans="14:14" x14ac:dyDescent="0.25">
      <c r="N1253" s="55"/>
    </row>
    <row r="1254" spans="14:14" x14ac:dyDescent="0.25">
      <c r="N1254" s="55"/>
    </row>
    <row r="1255" spans="14:14" x14ac:dyDescent="0.25">
      <c r="N1255" s="55"/>
    </row>
    <row r="1256" spans="14:14" x14ac:dyDescent="0.25">
      <c r="N1256" s="55"/>
    </row>
    <row r="1257" spans="14:14" x14ac:dyDescent="0.25">
      <c r="N1257" s="55"/>
    </row>
    <row r="1258" spans="14:14" x14ac:dyDescent="0.25">
      <c r="N1258" s="55"/>
    </row>
    <row r="1259" spans="14:14" x14ac:dyDescent="0.25">
      <c r="N1259" s="55"/>
    </row>
    <row r="1260" spans="14:14" x14ac:dyDescent="0.25">
      <c r="N1260" s="55"/>
    </row>
    <row r="1261" spans="14:14" x14ac:dyDescent="0.25">
      <c r="N1261" s="55"/>
    </row>
    <row r="1262" spans="14:14" x14ac:dyDescent="0.25">
      <c r="N1262" s="55"/>
    </row>
    <row r="1263" spans="14:14" x14ac:dyDescent="0.25">
      <c r="N1263" s="55"/>
    </row>
    <row r="1264" spans="14:14" x14ac:dyDescent="0.25">
      <c r="N1264" s="55"/>
    </row>
    <row r="1265" spans="14:14" x14ac:dyDescent="0.25">
      <c r="N1265" s="55"/>
    </row>
    <row r="1266" spans="14:14" x14ac:dyDescent="0.25">
      <c r="N1266" s="55"/>
    </row>
    <row r="1267" spans="14:14" x14ac:dyDescent="0.25">
      <c r="N1267" s="55"/>
    </row>
    <row r="1268" spans="14:14" x14ac:dyDescent="0.25">
      <c r="N1268" s="55"/>
    </row>
    <row r="1269" spans="14:14" x14ac:dyDescent="0.25">
      <c r="N1269" s="55"/>
    </row>
    <row r="1270" spans="14:14" x14ac:dyDescent="0.25">
      <c r="N1270" s="55"/>
    </row>
    <row r="1271" spans="14:14" x14ac:dyDescent="0.25">
      <c r="N1271" s="55"/>
    </row>
    <row r="1272" spans="14:14" x14ac:dyDescent="0.25">
      <c r="N1272" s="55"/>
    </row>
    <row r="1273" spans="14:14" x14ac:dyDescent="0.25">
      <c r="N1273" s="55"/>
    </row>
    <row r="1274" spans="14:14" x14ac:dyDescent="0.25">
      <c r="N1274" s="55"/>
    </row>
    <row r="1275" spans="14:14" x14ac:dyDescent="0.25">
      <c r="N1275" s="55"/>
    </row>
    <row r="1276" spans="14:14" x14ac:dyDescent="0.25">
      <c r="N1276" s="55"/>
    </row>
    <row r="1277" spans="14:14" x14ac:dyDescent="0.25">
      <c r="N1277" s="55"/>
    </row>
    <row r="1278" spans="14:14" x14ac:dyDescent="0.25">
      <c r="N1278" s="55"/>
    </row>
    <row r="1279" spans="14:14" x14ac:dyDescent="0.25">
      <c r="N1279" s="55"/>
    </row>
    <row r="1280" spans="14:14" x14ac:dyDescent="0.25">
      <c r="N1280" s="55"/>
    </row>
    <row r="1281" spans="14:14" x14ac:dyDescent="0.25">
      <c r="N1281" s="55"/>
    </row>
    <row r="1282" spans="14:14" x14ac:dyDescent="0.25">
      <c r="N1282" s="55"/>
    </row>
    <row r="1283" spans="14:14" x14ac:dyDescent="0.25">
      <c r="N1283" s="55"/>
    </row>
    <row r="1284" spans="14:14" x14ac:dyDescent="0.25">
      <c r="N1284" s="55"/>
    </row>
    <row r="1285" spans="14:14" x14ac:dyDescent="0.25">
      <c r="N1285" s="55"/>
    </row>
    <row r="1286" spans="14:14" x14ac:dyDescent="0.25">
      <c r="N1286" s="55"/>
    </row>
    <row r="1287" spans="14:14" x14ac:dyDescent="0.25">
      <c r="N1287" s="55"/>
    </row>
    <row r="1288" spans="14:14" x14ac:dyDescent="0.25">
      <c r="N1288" s="55"/>
    </row>
    <row r="1289" spans="14:14" x14ac:dyDescent="0.25">
      <c r="N1289" s="55"/>
    </row>
    <row r="1290" spans="14:14" x14ac:dyDescent="0.25">
      <c r="N1290" s="55"/>
    </row>
    <row r="1291" spans="14:14" x14ac:dyDescent="0.25">
      <c r="N1291" s="55"/>
    </row>
    <row r="1292" spans="14:14" x14ac:dyDescent="0.25">
      <c r="N1292" s="55"/>
    </row>
    <row r="1293" spans="14:14" x14ac:dyDescent="0.25">
      <c r="N1293" s="55"/>
    </row>
    <row r="1294" spans="14:14" x14ac:dyDescent="0.25">
      <c r="N1294" s="55"/>
    </row>
    <row r="1295" spans="14:14" x14ac:dyDescent="0.25">
      <c r="N1295" s="55"/>
    </row>
    <row r="1296" spans="14:14" x14ac:dyDescent="0.25">
      <c r="N1296" s="55"/>
    </row>
    <row r="1297" spans="14:14" x14ac:dyDescent="0.25">
      <c r="N1297" s="55"/>
    </row>
    <row r="1298" spans="14:14" x14ac:dyDescent="0.25">
      <c r="N1298" s="55"/>
    </row>
    <row r="1299" spans="14:14" x14ac:dyDescent="0.25">
      <c r="N1299" s="55"/>
    </row>
    <row r="1300" spans="14:14" x14ac:dyDescent="0.25">
      <c r="N1300" s="55"/>
    </row>
    <row r="1301" spans="14:14" x14ac:dyDescent="0.25">
      <c r="N1301" s="55"/>
    </row>
    <row r="1302" spans="14:14" x14ac:dyDescent="0.25">
      <c r="N1302" s="55"/>
    </row>
    <row r="1303" spans="14:14" x14ac:dyDescent="0.25">
      <c r="N1303" s="55"/>
    </row>
    <row r="1304" spans="14:14" x14ac:dyDescent="0.25">
      <c r="N1304" s="55"/>
    </row>
    <row r="1305" spans="14:14" x14ac:dyDescent="0.25">
      <c r="N1305" s="55"/>
    </row>
    <row r="1306" spans="14:14" x14ac:dyDescent="0.25">
      <c r="N1306" s="55"/>
    </row>
    <row r="1307" spans="14:14" x14ac:dyDescent="0.25">
      <c r="N1307" s="55"/>
    </row>
    <row r="1308" spans="14:14" x14ac:dyDescent="0.25">
      <c r="N1308" s="55"/>
    </row>
    <row r="1309" spans="14:14" x14ac:dyDescent="0.25">
      <c r="N1309" s="55"/>
    </row>
    <row r="1310" spans="14:14" x14ac:dyDescent="0.25">
      <c r="N1310" s="55"/>
    </row>
    <row r="1311" spans="14:14" x14ac:dyDescent="0.25">
      <c r="N1311" s="55"/>
    </row>
    <row r="1312" spans="14:14" x14ac:dyDescent="0.25">
      <c r="N1312" s="55"/>
    </row>
    <row r="1313" spans="14:14" x14ac:dyDescent="0.25">
      <c r="N1313" s="55"/>
    </row>
    <row r="1314" spans="14:14" x14ac:dyDescent="0.25">
      <c r="N1314" s="55"/>
    </row>
    <row r="1315" spans="14:14" x14ac:dyDescent="0.25">
      <c r="N1315" s="55"/>
    </row>
    <row r="1316" spans="14:14" x14ac:dyDescent="0.25">
      <c r="N1316" s="55"/>
    </row>
    <row r="1317" spans="14:14" x14ac:dyDescent="0.25">
      <c r="N1317" s="55"/>
    </row>
    <row r="1318" spans="14:14" x14ac:dyDescent="0.25">
      <c r="N1318" s="55"/>
    </row>
    <row r="1319" spans="14:14" x14ac:dyDescent="0.25">
      <c r="N1319" s="55"/>
    </row>
    <row r="1320" spans="14:14" x14ac:dyDescent="0.25">
      <c r="N1320" s="55"/>
    </row>
    <row r="1321" spans="14:14" x14ac:dyDescent="0.25">
      <c r="N1321" s="55"/>
    </row>
    <row r="1322" spans="14:14" x14ac:dyDescent="0.25">
      <c r="N1322" s="55"/>
    </row>
    <row r="1323" spans="14:14" x14ac:dyDescent="0.25">
      <c r="N1323" s="55"/>
    </row>
    <row r="1324" spans="14:14" x14ac:dyDescent="0.25">
      <c r="N1324" s="55"/>
    </row>
    <row r="1325" spans="14:14" x14ac:dyDescent="0.25">
      <c r="N1325" s="55"/>
    </row>
    <row r="1326" spans="14:14" x14ac:dyDescent="0.25">
      <c r="N1326" s="55"/>
    </row>
    <row r="1327" spans="14:14" x14ac:dyDescent="0.25">
      <c r="N1327" s="55"/>
    </row>
    <row r="1328" spans="14:14" x14ac:dyDescent="0.25">
      <c r="N1328" s="55"/>
    </row>
    <row r="1329" spans="14:14" x14ac:dyDescent="0.25">
      <c r="N1329" s="55"/>
    </row>
    <row r="1330" spans="14:14" x14ac:dyDescent="0.25">
      <c r="N1330" s="55"/>
    </row>
    <row r="1331" spans="14:14" x14ac:dyDescent="0.25">
      <c r="N1331" s="55"/>
    </row>
    <row r="1332" spans="14:14" x14ac:dyDescent="0.25">
      <c r="N1332" s="55"/>
    </row>
    <row r="1333" spans="14:14" x14ac:dyDescent="0.25">
      <c r="N1333" s="55"/>
    </row>
    <row r="1334" spans="14:14" x14ac:dyDescent="0.25">
      <c r="N1334" s="55"/>
    </row>
    <row r="1335" spans="14:14" x14ac:dyDescent="0.25">
      <c r="N1335" s="55"/>
    </row>
    <row r="1336" spans="14:14" x14ac:dyDescent="0.25">
      <c r="N1336" s="55"/>
    </row>
    <row r="1337" spans="14:14" x14ac:dyDescent="0.25">
      <c r="N1337" s="55"/>
    </row>
    <row r="1338" spans="14:14" x14ac:dyDescent="0.25">
      <c r="N1338" s="55"/>
    </row>
    <row r="1339" spans="14:14" x14ac:dyDescent="0.25">
      <c r="N1339" s="55"/>
    </row>
    <row r="1340" spans="14:14" x14ac:dyDescent="0.25">
      <c r="N1340" s="55"/>
    </row>
    <row r="1341" spans="14:14" x14ac:dyDescent="0.25">
      <c r="N1341" s="55"/>
    </row>
    <row r="1342" spans="14:14" x14ac:dyDescent="0.25">
      <c r="N1342" s="55"/>
    </row>
    <row r="1343" spans="14:14" x14ac:dyDescent="0.25">
      <c r="N1343" s="55"/>
    </row>
    <row r="1344" spans="14:14" x14ac:dyDescent="0.25">
      <c r="N1344" s="55"/>
    </row>
    <row r="1345" spans="14:14" x14ac:dyDescent="0.25">
      <c r="N1345" s="55"/>
    </row>
    <row r="1346" spans="14:14" x14ac:dyDescent="0.25">
      <c r="N1346" s="55"/>
    </row>
    <row r="1347" spans="14:14" x14ac:dyDescent="0.25">
      <c r="N1347" s="55"/>
    </row>
    <row r="1348" spans="14:14" x14ac:dyDescent="0.25">
      <c r="N1348" s="55"/>
    </row>
    <row r="1349" spans="14:14" x14ac:dyDescent="0.25">
      <c r="N1349" s="55"/>
    </row>
    <row r="1350" spans="14:14" x14ac:dyDescent="0.25">
      <c r="N1350" s="55"/>
    </row>
    <row r="1351" spans="14:14" x14ac:dyDescent="0.25">
      <c r="N1351" s="55"/>
    </row>
    <row r="1352" spans="14:14" x14ac:dyDescent="0.25">
      <c r="N1352" s="55"/>
    </row>
    <row r="1353" spans="14:14" x14ac:dyDescent="0.25">
      <c r="N1353" s="55"/>
    </row>
    <row r="1354" spans="14:14" x14ac:dyDescent="0.25">
      <c r="N1354" s="55"/>
    </row>
    <row r="1355" spans="14:14" x14ac:dyDescent="0.25">
      <c r="N1355" s="55"/>
    </row>
    <row r="1356" spans="14:14" x14ac:dyDescent="0.25">
      <c r="N1356" s="55"/>
    </row>
    <row r="1357" spans="14:14" x14ac:dyDescent="0.25">
      <c r="N1357" s="55"/>
    </row>
    <row r="1358" spans="14:14" x14ac:dyDescent="0.25">
      <c r="N1358" s="55"/>
    </row>
    <row r="1359" spans="14:14" x14ac:dyDescent="0.25">
      <c r="N1359" s="55"/>
    </row>
    <row r="1360" spans="14:14" x14ac:dyDescent="0.25">
      <c r="N1360" s="55"/>
    </row>
    <row r="1361" spans="14:14" x14ac:dyDescent="0.25">
      <c r="N1361" s="55"/>
    </row>
    <row r="1362" spans="14:14" x14ac:dyDescent="0.25">
      <c r="N1362" s="55"/>
    </row>
    <row r="1363" spans="14:14" x14ac:dyDescent="0.25">
      <c r="N1363" s="55"/>
    </row>
    <row r="1364" spans="14:14" x14ac:dyDescent="0.25">
      <c r="N1364" s="55"/>
    </row>
    <row r="1365" spans="14:14" x14ac:dyDescent="0.25">
      <c r="N1365" s="55"/>
    </row>
    <row r="1366" spans="14:14" x14ac:dyDescent="0.25">
      <c r="N1366" s="55"/>
    </row>
    <row r="1367" spans="14:14" x14ac:dyDescent="0.25">
      <c r="N1367" s="55"/>
    </row>
    <row r="1368" spans="14:14" x14ac:dyDescent="0.25">
      <c r="N1368" s="55"/>
    </row>
    <row r="1369" spans="14:14" x14ac:dyDescent="0.25">
      <c r="N1369" s="55"/>
    </row>
    <row r="1370" spans="14:14" x14ac:dyDescent="0.25">
      <c r="N1370" s="55"/>
    </row>
    <row r="1371" spans="14:14" x14ac:dyDescent="0.25">
      <c r="N1371" s="55"/>
    </row>
    <row r="1372" spans="14:14" x14ac:dyDescent="0.25">
      <c r="N1372" s="55"/>
    </row>
    <row r="1373" spans="14:14" x14ac:dyDescent="0.25">
      <c r="N1373" s="55"/>
    </row>
    <row r="1374" spans="14:14" x14ac:dyDescent="0.25">
      <c r="N1374" s="55"/>
    </row>
    <row r="1375" spans="14:14" x14ac:dyDescent="0.25">
      <c r="N1375" s="55"/>
    </row>
    <row r="1376" spans="14:14" x14ac:dyDescent="0.25">
      <c r="N1376" s="55"/>
    </row>
    <row r="1377" spans="14:14" x14ac:dyDescent="0.25">
      <c r="N1377" s="55"/>
    </row>
    <row r="1378" spans="14:14" x14ac:dyDescent="0.25">
      <c r="N1378" s="55"/>
    </row>
    <row r="1379" spans="14:14" x14ac:dyDescent="0.25">
      <c r="N1379" s="55"/>
    </row>
    <row r="1380" spans="14:14" x14ac:dyDescent="0.25">
      <c r="N1380" s="55"/>
    </row>
    <row r="1381" spans="14:14" x14ac:dyDescent="0.25">
      <c r="N1381" s="55"/>
    </row>
    <row r="1382" spans="14:14" x14ac:dyDescent="0.25">
      <c r="N1382" s="55"/>
    </row>
    <row r="1383" spans="14:14" x14ac:dyDescent="0.25">
      <c r="N1383" s="55"/>
    </row>
    <row r="1384" spans="14:14" x14ac:dyDescent="0.25">
      <c r="N1384" s="55"/>
    </row>
    <row r="1385" spans="14:14" x14ac:dyDescent="0.25">
      <c r="N1385" s="55"/>
    </row>
    <row r="1386" spans="14:14" x14ac:dyDescent="0.25">
      <c r="N1386" s="55"/>
    </row>
    <row r="1387" spans="14:14" x14ac:dyDescent="0.25">
      <c r="N1387" s="55"/>
    </row>
    <row r="1388" spans="14:14" x14ac:dyDescent="0.25">
      <c r="N1388" s="55"/>
    </row>
    <row r="1389" spans="14:14" x14ac:dyDescent="0.25">
      <c r="N1389" s="55"/>
    </row>
    <row r="1390" spans="14:14" x14ac:dyDescent="0.25">
      <c r="N1390" s="55"/>
    </row>
    <row r="1391" spans="14:14" x14ac:dyDescent="0.25">
      <c r="N1391" s="55"/>
    </row>
    <row r="1392" spans="14:14" x14ac:dyDescent="0.25">
      <c r="N1392" s="55"/>
    </row>
    <row r="1393" spans="14:14" x14ac:dyDescent="0.25">
      <c r="N1393" s="55"/>
    </row>
    <row r="1394" spans="14:14" x14ac:dyDescent="0.25">
      <c r="N1394" s="55"/>
    </row>
    <row r="1395" spans="14:14" x14ac:dyDescent="0.25">
      <c r="N1395" s="55"/>
    </row>
    <row r="1396" spans="14:14" x14ac:dyDescent="0.25">
      <c r="N1396" s="55"/>
    </row>
    <row r="1397" spans="14:14" x14ac:dyDescent="0.25">
      <c r="N1397" s="55"/>
    </row>
    <row r="1398" spans="14:14" x14ac:dyDescent="0.25">
      <c r="N1398" s="55"/>
    </row>
    <row r="1399" spans="14:14" x14ac:dyDescent="0.25">
      <c r="N1399" s="55"/>
    </row>
    <row r="1400" spans="14:14" x14ac:dyDescent="0.25">
      <c r="N1400" s="55"/>
    </row>
    <row r="1401" spans="14:14" x14ac:dyDescent="0.25">
      <c r="N1401" s="55"/>
    </row>
    <row r="1402" spans="14:14" x14ac:dyDescent="0.25">
      <c r="N1402" s="55"/>
    </row>
    <row r="1403" spans="14:14" x14ac:dyDescent="0.25">
      <c r="N1403" s="55"/>
    </row>
    <row r="1404" spans="14:14" x14ac:dyDescent="0.25">
      <c r="N1404" s="55"/>
    </row>
    <row r="1405" spans="14:14" x14ac:dyDescent="0.25">
      <c r="N1405" s="55"/>
    </row>
    <row r="1406" spans="14:14" x14ac:dyDescent="0.25">
      <c r="N1406" s="55"/>
    </row>
    <row r="1407" spans="14:14" x14ac:dyDescent="0.25">
      <c r="N1407" s="55"/>
    </row>
    <row r="1408" spans="14:14" x14ac:dyDescent="0.25">
      <c r="N1408" s="55"/>
    </row>
    <row r="1409" spans="14:14" x14ac:dyDescent="0.25">
      <c r="N1409" s="55"/>
    </row>
    <row r="1410" spans="14:14" x14ac:dyDescent="0.25">
      <c r="N1410" s="55"/>
    </row>
    <row r="1411" spans="14:14" x14ac:dyDescent="0.25">
      <c r="N1411" s="55"/>
    </row>
    <row r="1412" spans="14:14" x14ac:dyDescent="0.25">
      <c r="N1412" s="55"/>
    </row>
    <row r="1413" spans="14:14" x14ac:dyDescent="0.25">
      <c r="N1413" s="55"/>
    </row>
    <row r="1414" spans="14:14" x14ac:dyDescent="0.25">
      <c r="N1414" s="55"/>
    </row>
    <row r="1415" spans="14:14" x14ac:dyDescent="0.25">
      <c r="N1415" s="55"/>
    </row>
    <row r="1416" spans="14:14" x14ac:dyDescent="0.25">
      <c r="N1416" s="55"/>
    </row>
    <row r="1417" spans="14:14" x14ac:dyDescent="0.25">
      <c r="N1417" s="55"/>
    </row>
    <row r="1418" spans="14:14" x14ac:dyDescent="0.25">
      <c r="N1418" s="55"/>
    </row>
    <row r="1419" spans="14:14" x14ac:dyDescent="0.25">
      <c r="N1419" s="55"/>
    </row>
    <row r="1420" spans="14:14" x14ac:dyDescent="0.25">
      <c r="N1420" s="55"/>
    </row>
    <row r="1421" spans="14:14" x14ac:dyDescent="0.25">
      <c r="N1421" s="55"/>
    </row>
    <row r="1422" spans="14:14" x14ac:dyDescent="0.25">
      <c r="N1422" s="55"/>
    </row>
    <row r="1423" spans="14:14" x14ac:dyDescent="0.25">
      <c r="N1423" s="55"/>
    </row>
    <row r="1424" spans="14:14" x14ac:dyDescent="0.25">
      <c r="N1424" s="55"/>
    </row>
    <row r="1425" spans="14:14" x14ac:dyDescent="0.25">
      <c r="N1425" s="55"/>
    </row>
    <row r="1426" spans="14:14" x14ac:dyDescent="0.25">
      <c r="N1426" s="55"/>
    </row>
    <row r="1427" spans="14:14" x14ac:dyDescent="0.25">
      <c r="N1427" s="55"/>
    </row>
    <row r="1428" spans="14:14" x14ac:dyDescent="0.25">
      <c r="N1428" s="55"/>
    </row>
    <row r="1429" spans="14:14" x14ac:dyDescent="0.25">
      <c r="N1429" s="55"/>
    </row>
    <row r="1430" spans="14:14" x14ac:dyDescent="0.25">
      <c r="N1430" s="55"/>
    </row>
    <row r="1431" spans="14:14" x14ac:dyDescent="0.25">
      <c r="N1431" s="55"/>
    </row>
    <row r="1432" spans="14:14" x14ac:dyDescent="0.25">
      <c r="N1432" s="55"/>
    </row>
    <row r="1433" spans="14:14" x14ac:dyDescent="0.25">
      <c r="N1433" s="55"/>
    </row>
    <row r="1434" spans="14:14" x14ac:dyDescent="0.25">
      <c r="N1434" s="55"/>
    </row>
    <row r="1435" spans="14:14" x14ac:dyDescent="0.25">
      <c r="N1435" s="55"/>
    </row>
    <row r="1436" spans="14:14" x14ac:dyDescent="0.25">
      <c r="N1436" s="55"/>
    </row>
    <row r="1437" spans="14:14" x14ac:dyDescent="0.25">
      <c r="N1437" s="55"/>
    </row>
    <row r="1438" spans="14:14" x14ac:dyDescent="0.25">
      <c r="N1438" s="55"/>
    </row>
    <row r="1439" spans="14:14" x14ac:dyDescent="0.25">
      <c r="N1439" s="55"/>
    </row>
    <row r="1440" spans="14:14" x14ac:dyDescent="0.25">
      <c r="N1440" s="55"/>
    </row>
    <row r="1441" spans="14:14" x14ac:dyDescent="0.25">
      <c r="N1441" s="55"/>
    </row>
    <row r="1442" spans="14:14" x14ac:dyDescent="0.25">
      <c r="N1442" s="55"/>
    </row>
    <row r="1443" spans="14:14" x14ac:dyDescent="0.25">
      <c r="N1443" s="55"/>
    </row>
    <row r="1444" spans="14:14" x14ac:dyDescent="0.25">
      <c r="N1444" s="55"/>
    </row>
    <row r="1445" spans="14:14" x14ac:dyDescent="0.25">
      <c r="N1445" s="55"/>
    </row>
    <row r="1446" spans="14:14" x14ac:dyDescent="0.25">
      <c r="N1446" s="55"/>
    </row>
    <row r="1447" spans="14:14" x14ac:dyDescent="0.25">
      <c r="N1447" s="55"/>
    </row>
    <row r="1448" spans="14:14" x14ac:dyDescent="0.25">
      <c r="N1448" s="55"/>
    </row>
    <row r="1449" spans="14:14" x14ac:dyDescent="0.25">
      <c r="N1449" s="55"/>
    </row>
    <row r="1450" spans="14:14" x14ac:dyDescent="0.25">
      <c r="N1450" s="55"/>
    </row>
    <row r="1451" spans="14:14" x14ac:dyDescent="0.25">
      <c r="N1451" s="55"/>
    </row>
    <row r="1452" spans="14:14" x14ac:dyDescent="0.25">
      <c r="N1452" s="55"/>
    </row>
    <row r="1453" spans="14:14" x14ac:dyDescent="0.25">
      <c r="N1453" s="55"/>
    </row>
    <row r="1454" spans="14:14" x14ac:dyDescent="0.25">
      <c r="N1454" s="55"/>
    </row>
    <row r="1455" spans="14:14" x14ac:dyDescent="0.25">
      <c r="N1455" s="55"/>
    </row>
    <row r="1456" spans="14:14" x14ac:dyDescent="0.25">
      <c r="N1456" s="55"/>
    </row>
    <row r="1457" spans="14:14" x14ac:dyDescent="0.25">
      <c r="N1457" s="55"/>
    </row>
    <row r="1458" spans="14:14" x14ac:dyDescent="0.25">
      <c r="N1458" s="55"/>
    </row>
    <row r="1459" spans="14:14" x14ac:dyDescent="0.25">
      <c r="N1459" s="55"/>
    </row>
    <row r="1460" spans="14:14" x14ac:dyDescent="0.25">
      <c r="N1460" s="55"/>
    </row>
    <row r="1461" spans="14:14" x14ac:dyDescent="0.25">
      <c r="N1461" s="55"/>
    </row>
    <row r="1462" spans="14:14" x14ac:dyDescent="0.25">
      <c r="N1462" s="55"/>
    </row>
    <row r="1463" spans="14:14" x14ac:dyDescent="0.25">
      <c r="N1463" s="55"/>
    </row>
    <row r="1464" spans="14:14" x14ac:dyDescent="0.25">
      <c r="N1464" s="55"/>
    </row>
    <row r="1465" spans="14:14" x14ac:dyDescent="0.25">
      <c r="N1465" s="55"/>
    </row>
    <row r="1466" spans="14:14" x14ac:dyDescent="0.25">
      <c r="N1466" s="55"/>
    </row>
    <row r="1467" spans="14:14" x14ac:dyDescent="0.25">
      <c r="N1467" s="55"/>
    </row>
    <row r="1468" spans="14:14" x14ac:dyDescent="0.25">
      <c r="N1468" s="55"/>
    </row>
    <row r="1469" spans="14:14" x14ac:dyDescent="0.25">
      <c r="N1469" s="55"/>
    </row>
    <row r="1470" spans="14:14" x14ac:dyDescent="0.25">
      <c r="N1470" s="55"/>
    </row>
    <row r="1471" spans="14:14" x14ac:dyDescent="0.25">
      <c r="N1471" s="55"/>
    </row>
    <row r="1472" spans="14:14" x14ac:dyDescent="0.25">
      <c r="N1472" s="55"/>
    </row>
    <row r="1473" spans="14:14" x14ac:dyDescent="0.25">
      <c r="N1473" s="55"/>
    </row>
    <row r="1474" spans="14:14" x14ac:dyDescent="0.25">
      <c r="N1474" s="55"/>
    </row>
    <row r="1475" spans="14:14" x14ac:dyDescent="0.25">
      <c r="N1475" s="55"/>
    </row>
    <row r="1476" spans="14:14" x14ac:dyDescent="0.25">
      <c r="N1476" s="55"/>
    </row>
    <row r="1477" spans="14:14" x14ac:dyDescent="0.25">
      <c r="N1477" s="55"/>
    </row>
    <row r="1478" spans="14:14" x14ac:dyDescent="0.25">
      <c r="N1478" s="55"/>
    </row>
    <row r="1479" spans="14:14" x14ac:dyDescent="0.25">
      <c r="N1479" s="55"/>
    </row>
    <row r="1480" spans="14:14" x14ac:dyDescent="0.25">
      <c r="N1480" s="55"/>
    </row>
    <row r="1481" spans="14:14" x14ac:dyDescent="0.25">
      <c r="N1481" s="55"/>
    </row>
    <row r="1482" spans="14:14" x14ac:dyDescent="0.25">
      <c r="N1482" s="55"/>
    </row>
    <row r="1483" spans="14:14" x14ac:dyDescent="0.25">
      <c r="N1483" s="55"/>
    </row>
    <row r="1484" spans="14:14" x14ac:dyDescent="0.25">
      <c r="N1484" s="55"/>
    </row>
    <row r="1485" spans="14:14" x14ac:dyDescent="0.25">
      <c r="N1485" s="55"/>
    </row>
    <row r="1486" spans="14:14" x14ac:dyDescent="0.25">
      <c r="N1486" s="55"/>
    </row>
    <row r="1487" spans="14:14" x14ac:dyDescent="0.25">
      <c r="N1487" s="55"/>
    </row>
    <row r="1488" spans="14:14" x14ac:dyDescent="0.25">
      <c r="N1488" s="55"/>
    </row>
    <row r="1489" spans="14:14" x14ac:dyDescent="0.25">
      <c r="N1489" s="55"/>
    </row>
    <row r="1490" spans="14:14" x14ac:dyDescent="0.25">
      <c r="N1490" s="55"/>
    </row>
    <row r="1491" spans="14:14" x14ac:dyDescent="0.25">
      <c r="N1491" s="55"/>
    </row>
    <row r="1492" spans="14:14" x14ac:dyDescent="0.25">
      <c r="N1492" s="55"/>
    </row>
    <row r="1493" spans="14:14" x14ac:dyDescent="0.25">
      <c r="N1493" s="55"/>
    </row>
    <row r="1494" spans="14:14" x14ac:dyDescent="0.25">
      <c r="N1494" s="55"/>
    </row>
    <row r="1495" spans="14:14" x14ac:dyDescent="0.25">
      <c r="N1495" s="55"/>
    </row>
    <row r="1496" spans="14:14" x14ac:dyDescent="0.25">
      <c r="N1496" s="55"/>
    </row>
    <row r="1497" spans="14:14" x14ac:dyDescent="0.25">
      <c r="N1497" s="55"/>
    </row>
    <row r="1498" spans="14:14" x14ac:dyDescent="0.25">
      <c r="N1498" s="55"/>
    </row>
    <row r="1499" spans="14:14" x14ac:dyDescent="0.25">
      <c r="N1499" s="55"/>
    </row>
    <row r="1500" spans="14:14" x14ac:dyDescent="0.25">
      <c r="N1500" s="55"/>
    </row>
    <row r="1501" spans="14:14" x14ac:dyDescent="0.25">
      <c r="N1501" s="55"/>
    </row>
    <row r="1502" spans="14:14" x14ac:dyDescent="0.25">
      <c r="N1502" s="55"/>
    </row>
    <row r="1503" spans="14:14" x14ac:dyDescent="0.25">
      <c r="N1503" s="55"/>
    </row>
    <row r="1504" spans="14:14" x14ac:dyDescent="0.25">
      <c r="N1504" s="55"/>
    </row>
    <row r="1505" spans="14:14" x14ac:dyDescent="0.25">
      <c r="N1505" s="55"/>
    </row>
    <row r="1506" spans="14:14" x14ac:dyDescent="0.25">
      <c r="N1506" s="55"/>
    </row>
    <row r="1507" spans="14:14" x14ac:dyDescent="0.25">
      <c r="N1507" s="55"/>
    </row>
    <row r="1508" spans="14:14" x14ac:dyDescent="0.25">
      <c r="N1508" s="55"/>
    </row>
    <row r="1509" spans="14:14" x14ac:dyDescent="0.25">
      <c r="N1509" s="55"/>
    </row>
    <row r="1510" spans="14:14" x14ac:dyDescent="0.25">
      <c r="N1510" s="55"/>
    </row>
    <row r="1511" spans="14:14" x14ac:dyDescent="0.25">
      <c r="N1511" s="55"/>
    </row>
    <row r="1512" spans="14:14" x14ac:dyDescent="0.25">
      <c r="N1512" s="55"/>
    </row>
    <row r="1513" spans="14:14" x14ac:dyDescent="0.25">
      <c r="N1513" s="55"/>
    </row>
    <row r="1514" spans="14:14" x14ac:dyDescent="0.25">
      <c r="N1514" s="55"/>
    </row>
    <row r="1515" spans="14:14" x14ac:dyDescent="0.25">
      <c r="N1515" s="55"/>
    </row>
    <row r="1516" spans="14:14" x14ac:dyDescent="0.25">
      <c r="N1516" s="55"/>
    </row>
    <row r="1517" spans="14:14" x14ac:dyDescent="0.25">
      <c r="N1517" s="55"/>
    </row>
    <row r="1518" spans="14:14" x14ac:dyDescent="0.25">
      <c r="N1518" s="55"/>
    </row>
    <row r="1519" spans="14:14" x14ac:dyDescent="0.25">
      <c r="N1519" s="55"/>
    </row>
    <row r="1520" spans="14:14" x14ac:dyDescent="0.25">
      <c r="N1520" s="55"/>
    </row>
    <row r="1521" spans="14:14" x14ac:dyDescent="0.25">
      <c r="N1521" s="55"/>
    </row>
    <row r="1522" spans="14:14" x14ac:dyDescent="0.25">
      <c r="N1522" s="55"/>
    </row>
    <row r="1523" spans="14:14" x14ac:dyDescent="0.25">
      <c r="N1523" s="55"/>
    </row>
    <row r="1524" spans="14:14" x14ac:dyDescent="0.25">
      <c r="N1524" s="55"/>
    </row>
    <row r="1525" spans="14:14" x14ac:dyDescent="0.25">
      <c r="N1525" s="55"/>
    </row>
    <row r="1526" spans="14:14" x14ac:dyDescent="0.25">
      <c r="N1526" s="55"/>
    </row>
    <row r="1527" spans="14:14" x14ac:dyDescent="0.25">
      <c r="N1527" s="55"/>
    </row>
    <row r="1528" spans="14:14" x14ac:dyDescent="0.25">
      <c r="N1528" s="55"/>
    </row>
    <row r="1529" spans="14:14" x14ac:dyDescent="0.25">
      <c r="N1529" s="55"/>
    </row>
    <row r="1530" spans="14:14" x14ac:dyDescent="0.25">
      <c r="N1530" s="55"/>
    </row>
    <row r="1531" spans="14:14" x14ac:dyDescent="0.25">
      <c r="N1531" s="55"/>
    </row>
    <row r="1532" spans="14:14" x14ac:dyDescent="0.25">
      <c r="N1532" s="55"/>
    </row>
    <row r="1533" spans="14:14" x14ac:dyDescent="0.25">
      <c r="N1533" s="55"/>
    </row>
    <row r="1534" spans="14:14" x14ac:dyDescent="0.25">
      <c r="N1534" s="55"/>
    </row>
    <row r="1535" spans="14:14" x14ac:dyDescent="0.25">
      <c r="N1535" s="55"/>
    </row>
    <row r="1536" spans="14:14" x14ac:dyDescent="0.25">
      <c r="N1536" s="55"/>
    </row>
    <row r="1537" spans="14:14" x14ac:dyDescent="0.25">
      <c r="N1537" s="55"/>
    </row>
    <row r="1538" spans="14:14" x14ac:dyDescent="0.25">
      <c r="N1538" s="55"/>
    </row>
    <row r="1539" spans="14:14" x14ac:dyDescent="0.25">
      <c r="N1539" s="55"/>
    </row>
    <row r="1540" spans="14:14" x14ac:dyDescent="0.25">
      <c r="N1540" s="55"/>
    </row>
    <row r="1541" spans="14:14" x14ac:dyDescent="0.25">
      <c r="N1541" s="55"/>
    </row>
    <row r="1542" spans="14:14" x14ac:dyDescent="0.25">
      <c r="N1542" s="55"/>
    </row>
    <row r="1543" spans="14:14" x14ac:dyDescent="0.25">
      <c r="N1543" s="55"/>
    </row>
    <row r="1544" spans="14:14" x14ac:dyDescent="0.25">
      <c r="N1544" s="55"/>
    </row>
    <row r="1545" spans="14:14" x14ac:dyDescent="0.25">
      <c r="N1545" s="55"/>
    </row>
    <row r="1546" spans="14:14" x14ac:dyDescent="0.25">
      <c r="N1546" s="55"/>
    </row>
    <row r="1547" spans="14:14" x14ac:dyDescent="0.25">
      <c r="N1547" s="55"/>
    </row>
    <row r="1548" spans="14:14" x14ac:dyDescent="0.25">
      <c r="N1548" s="55"/>
    </row>
    <row r="1549" spans="14:14" x14ac:dyDescent="0.25">
      <c r="N1549" s="55"/>
    </row>
    <row r="1550" spans="14:14" x14ac:dyDescent="0.25">
      <c r="N1550" s="55"/>
    </row>
    <row r="1551" spans="14:14" x14ac:dyDescent="0.25">
      <c r="N1551" s="55"/>
    </row>
    <row r="1552" spans="14:14" x14ac:dyDescent="0.25">
      <c r="N1552" s="55"/>
    </row>
    <row r="1553" spans="14:14" x14ac:dyDescent="0.25">
      <c r="N1553" s="55"/>
    </row>
    <row r="1554" spans="14:14" x14ac:dyDescent="0.25">
      <c r="N1554" s="55"/>
    </row>
    <row r="1555" spans="14:14" x14ac:dyDescent="0.25">
      <c r="N1555" s="55"/>
    </row>
    <row r="1556" spans="14:14" x14ac:dyDescent="0.25">
      <c r="N1556" s="55"/>
    </row>
    <row r="1557" spans="14:14" x14ac:dyDescent="0.25">
      <c r="N1557" s="55"/>
    </row>
    <row r="1558" spans="14:14" x14ac:dyDescent="0.25">
      <c r="N1558" s="55"/>
    </row>
    <row r="1559" spans="14:14" x14ac:dyDescent="0.25">
      <c r="N1559" s="55"/>
    </row>
    <row r="1560" spans="14:14" x14ac:dyDescent="0.25">
      <c r="N1560" s="55"/>
    </row>
    <row r="1561" spans="14:14" x14ac:dyDescent="0.25">
      <c r="N1561" s="55"/>
    </row>
    <row r="1562" spans="14:14" x14ac:dyDescent="0.25">
      <c r="N1562" s="55"/>
    </row>
    <row r="1563" spans="14:14" x14ac:dyDescent="0.25">
      <c r="N1563" s="55"/>
    </row>
    <row r="1564" spans="14:14" x14ac:dyDescent="0.25">
      <c r="N1564" s="55"/>
    </row>
    <row r="1565" spans="14:14" x14ac:dyDescent="0.25">
      <c r="N1565" s="55"/>
    </row>
    <row r="1566" spans="14:14" x14ac:dyDescent="0.25">
      <c r="N1566" s="55"/>
    </row>
    <row r="1567" spans="14:14" x14ac:dyDescent="0.25">
      <c r="N1567" s="55"/>
    </row>
    <row r="1568" spans="14:14" x14ac:dyDescent="0.25">
      <c r="N1568" s="55"/>
    </row>
    <row r="1569" spans="14:14" x14ac:dyDescent="0.25">
      <c r="N1569" s="55"/>
    </row>
    <row r="1570" spans="14:14" x14ac:dyDescent="0.25">
      <c r="N1570" s="55"/>
    </row>
    <row r="1571" spans="14:14" x14ac:dyDescent="0.25">
      <c r="N1571" s="55"/>
    </row>
    <row r="1572" spans="14:14" x14ac:dyDescent="0.25">
      <c r="N1572" s="55"/>
    </row>
    <row r="1573" spans="14:14" x14ac:dyDescent="0.25">
      <c r="N1573" s="55"/>
    </row>
    <row r="1574" spans="14:14" x14ac:dyDescent="0.25">
      <c r="N1574" s="55"/>
    </row>
    <row r="1575" spans="14:14" x14ac:dyDescent="0.25">
      <c r="N1575" s="55"/>
    </row>
    <row r="1576" spans="14:14" x14ac:dyDescent="0.25">
      <c r="N1576" s="55"/>
    </row>
    <row r="1577" spans="14:14" x14ac:dyDescent="0.25">
      <c r="N1577" s="55"/>
    </row>
    <row r="1578" spans="14:14" x14ac:dyDescent="0.25">
      <c r="N1578" s="55"/>
    </row>
    <row r="1579" spans="14:14" x14ac:dyDescent="0.25">
      <c r="N1579" s="55"/>
    </row>
    <row r="1580" spans="14:14" x14ac:dyDescent="0.25">
      <c r="N1580" s="55"/>
    </row>
    <row r="1581" spans="14:14" x14ac:dyDescent="0.25">
      <c r="N1581" s="55"/>
    </row>
    <row r="1582" spans="14:14" x14ac:dyDescent="0.25">
      <c r="N1582" s="55"/>
    </row>
    <row r="1583" spans="14:14" x14ac:dyDescent="0.25">
      <c r="N1583" s="55"/>
    </row>
    <row r="1584" spans="14:14" x14ac:dyDescent="0.25">
      <c r="N1584" s="55"/>
    </row>
    <row r="1585" spans="14:14" x14ac:dyDescent="0.25">
      <c r="N1585" s="55"/>
    </row>
    <row r="1586" spans="14:14" x14ac:dyDescent="0.25">
      <c r="N1586" s="55"/>
    </row>
    <row r="1587" spans="14:14" x14ac:dyDescent="0.25">
      <c r="N1587" s="55"/>
    </row>
    <row r="1588" spans="14:14" x14ac:dyDescent="0.25">
      <c r="N1588" s="55"/>
    </row>
    <row r="1589" spans="14:14" x14ac:dyDescent="0.25">
      <c r="N1589" s="55"/>
    </row>
    <row r="1590" spans="14:14" x14ac:dyDescent="0.25">
      <c r="N1590" s="55"/>
    </row>
    <row r="1591" spans="14:14" x14ac:dyDescent="0.25">
      <c r="N1591" s="55"/>
    </row>
    <row r="1592" spans="14:14" x14ac:dyDescent="0.25">
      <c r="N1592" s="55"/>
    </row>
    <row r="1593" spans="14:14" x14ac:dyDescent="0.25">
      <c r="N1593" s="55"/>
    </row>
    <row r="1594" spans="14:14" x14ac:dyDescent="0.25">
      <c r="N1594" s="55"/>
    </row>
    <row r="1595" spans="14:14" x14ac:dyDescent="0.25">
      <c r="N1595" s="55"/>
    </row>
    <row r="1596" spans="14:14" x14ac:dyDescent="0.25">
      <c r="N1596" s="55"/>
    </row>
    <row r="1597" spans="14:14" x14ac:dyDescent="0.25">
      <c r="N1597" s="55"/>
    </row>
    <row r="1598" spans="14:14" x14ac:dyDescent="0.25">
      <c r="N1598" s="55"/>
    </row>
    <row r="1599" spans="14:14" x14ac:dyDescent="0.25">
      <c r="N1599" s="55"/>
    </row>
    <row r="1600" spans="14:14" x14ac:dyDescent="0.25">
      <c r="N1600" s="55"/>
    </row>
    <row r="1601" spans="14:14" x14ac:dyDescent="0.25">
      <c r="N1601" s="55"/>
    </row>
    <row r="1602" spans="14:14" x14ac:dyDescent="0.25">
      <c r="N1602" s="55"/>
    </row>
    <row r="1603" spans="14:14" x14ac:dyDescent="0.25">
      <c r="N1603" s="55"/>
    </row>
    <row r="1604" spans="14:14" x14ac:dyDescent="0.25">
      <c r="N1604" s="55"/>
    </row>
    <row r="1605" spans="14:14" x14ac:dyDescent="0.25">
      <c r="N1605" s="55"/>
    </row>
    <row r="1606" spans="14:14" x14ac:dyDescent="0.25">
      <c r="N1606" s="55"/>
    </row>
    <row r="1607" spans="14:14" x14ac:dyDescent="0.25">
      <c r="N1607" s="55"/>
    </row>
    <row r="1608" spans="14:14" x14ac:dyDescent="0.25">
      <c r="N1608" s="55"/>
    </row>
    <row r="1609" spans="14:14" x14ac:dyDescent="0.25">
      <c r="N1609" s="55"/>
    </row>
    <row r="1610" spans="14:14" x14ac:dyDescent="0.25">
      <c r="N1610" s="55"/>
    </row>
    <row r="1611" spans="14:14" x14ac:dyDescent="0.25">
      <c r="N1611" s="55"/>
    </row>
    <row r="1612" spans="14:14" x14ac:dyDescent="0.25">
      <c r="N1612" s="55"/>
    </row>
    <row r="1613" spans="14:14" x14ac:dyDescent="0.25">
      <c r="N1613" s="55"/>
    </row>
    <row r="1614" spans="14:14" x14ac:dyDescent="0.25">
      <c r="N1614" s="55"/>
    </row>
    <row r="1615" spans="14:14" x14ac:dyDescent="0.25">
      <c r="N1615" s="55"/>
    </row>
    <row r="1616" spans="14:14" x14ac:dyDescent="0.25">
      <c r="N1616" s="55"/>
    </row>
    <row r="1617" spans="14:14" x14ac:dyDescent="0.25">
      <c r="N1617" s="55"/>
    </row>
    <row r="1618" spans="14:14" x14ac:dyDescent="0.25">
      <c r="N1618" s="55"/>
    </row>
    <row r="1619" spans="14:14" x14ac:dyDescent="0.25">
      <c r="N1619" s="55"/>
    </row>
    <row r="1620" spans="14:14" x14ac:dyDescent="0.25">
      <c r="N1620" s="55"/>
    </row>
    <row r="1621" spans="14:14" x14ac:dyDescent="0.25">
      <c r="N1621" s="55"/>
    </row>
    <row r="1622" spans="14:14" x14ac:dyDescent="0.25">
      <c r="N1622" s="55"/>
    </row>
    <row r="1623" spans="14:14" x14ac:dyDescent="0.25">
      <c r="N1623" s="55"/>
    </row>
    <row r="1624" spans="14:14" x14ac:dyDescent="0.25">
      <c r="N1624" s="55"/>
    </row>
    <row r="1625" spans="14:14" x14ac:dyDescent="0.25">
      <c r="N1625" s="55"/>
    </row>
    <row r="1626" spans="14:14" x14ac:dyDescent="0.25">
      <c r="N1626" s="55"/>
    </row>
    <row r="1627" spans="14:14" x14ac:dyDescent="0.25">
      <c r="N1627" s="55"/>
    </row>
    <row r="1628" spans="14:14" x14ac:dyDescent="0.25">
      <c r="N1628" s="55"/>
    </row>
    <row r="1629" spans="14:14" x14ac:dyDescent="0.25">
      <c r="N1629" s="55"/>
    </row>
    <row r="1630" spans="14:14" x14ac:dyDescent="0.25">
      <c r="N1630" s="55"/>
    </row>
    <row r="1631" spans="14:14" x14ac:dyDescent="0.25">
      <c r="N1631" s="55"/>
    </row>
    <row r="1632" spans="14:14" x14ac:dyDescent="0.25">
      <c r="N1632" s="55"/>
    </row>
    <row r="1633" spans="14:14" x14ac:dyDescent="0.25">
      <c r="N1633" s="55"/>
    </row>
    <row r="1634" spans="14:14" x14ac:dyDescent="0.25">
      <c r="N1634" s="55"/>
    </row>
    <row r="1635" spans="14:14" x14ac:dyDescent="0.25">
      <c r="N1635" s="55"/>
    </row>
    <row r="1636" spans="14:14" x14ac:dyDescent="0.25">
      <c r="N1636" s="55"/>
    </row>
    <row r="1637" spans="14:14" x14ac:dyDescent="0.25">
      <c r="N1637" s="55"/>
    </row>
    <row r="1638" spans="14:14" x14ac:dyDescent="0.25">
      <c r="N1638" s="55"/>
    </row>
    <row r="1639" spans="14:14" x14ac:dyDescent="0.25">
      <c r="N1639" s="55"/>
    </row>
    <row r="1640" spans="14:14" x14ac:dyDescent="0.25">
      <c r="N1640" s="55"/>
    </row>
    <row r="1641" spans="14:14" x14ac:dyDescent="0.25">
      <c r="N1641" s="55"/>
    </row>
    <row r="1642" spans="14:14" x14ac:dyDescent="0.25">
      <c r="N1642" s="55"/>
    </row>
    <row r="1643" spans="14:14" x14ac:dyDescent="0.25">
      <c r="N1643" s="55"/>
    </row>
    <row r="1644" spans="14:14" x14ac:dyDescent="0.25">
      <c r="N1644" s="55"/>
    </row>
    <row r="1645" spans="14:14" x14ac:dyDescent="0.25">
      <c r="N1645" s="55"/>
    </row>
    <row r="1646" spans="14:14" x14ac:dyDescent="0.25">
      <c r="N1646" s="55"/>
    </row>
    <row r="1647" spans="14:14" x14ac:dyDescent="0.25">
      <c r="N1647" s="55"/>
    </row>
    <row r="1648" spans="14:14" x14ac:dyDescent="0.25">
      <c r="N1648" s="55"/>
    </row>
    <row r="1649" spans="14:14" x14ac:dyDescent="0.25">
      <c r="N1649" s="55"/>
    </row>
    <row r="1650" spans="14:14" x14ac:dyDescent="0.25">
      <c r="N1650" s="55"/>
    </row>
    <row r="1651" spans="14:14" x14ac:dyDescent="0.25">
      <c r="N1651" s="55"/>
    </row>
    <row r="1652" spans="14:14" x14ac:dyDescent="0.25">
      <c r="N1652" s="55"/>
    </row>
    <row r="1653" spans="14:14" x14ac:dyDescent="0.25">
      <c r="N1653" s="55"/>
    </row>
    <row r="1654" spans="14:14" x14ac:dyDescent="0.25">
      <c r="N1654" s="55"/>
    </row>
    <row r="1655" spans="14:14" x14ac:dyDescent="0.25">
      <c r="N1655" s="55"/>
    </row>
    <row r="1656" spans="14:14" x14ac:dyDescent="0.25">
      <c r="N1656" s="55"/>
    </row>
    <row r="1657" spans="14:14" x14ac:dyDescent="0.25">
      <c r="N1657" s="55"/>
    </row>
    <row r="1658" spans="14:14" x14ac:dyDescent="0.25">
      <c r="N1658" s="55"/>
    </row>
    <row r="1659" spans="14:14" x14ac:dyDescent="0.25">
      <c r="N1659" s="55"/>
    </row>
    <row r="1660" spans="14:14" x14ac:dyDescent="0.25">
      <c r="N1660" s="55"/>
    </row>
    <row r="1661" spans="14:14" x14ac:dyDescent="0.25">
      <c r="N1661" s="55"/>
    </row>
    <row r="1662" spans="14:14" x14ac:dyDescent="0.25">
      <c r="N1662" s="55"/>
    </row>
    <row r="1663" spans="14:14" x14ac:dyDescent="0.25">
      <c r="N1663" s="55"/>
    </row>
    <row r="1664" spans="14:14" x14ac:dyDescent="0.25">
      <c r="N1664" s="55"/>
    </row>
    <row r="1665" spans="14:14" x14ac:dyDescent="0.25">
      <c r="N1665" s="55"/>
    </row>
    <row r="1666" spans="14:14" x14ac:dyDescent="0.25">
      <c r="N1666" s="55"/>
    </row>
    <row r="1667" spans="14:14" x14ac:dyDescent="0.25">
      <c r="N1667" s="55"/>
    </row>
    <row r="1668" spans="14:14" x14ac:dyDescent="0.25">
      <c r="N1668" s="55"/>
    </row>
    <row r="1669" spans="14:14" x14ac:dyDescent="0.25">
      <c r="N1669" s="55"/>
    </row>
    <row r="1670" spans="14:14" x14ac:dyDescent="0.25">
      <c r="N1670" s="55"/>
    </row>
    <row r="1671" spans="14:14" x14ac:dyDescent="0.25">
      <c r="N1671" s="55"/>
    </row>
    <row r="1672" spans="14:14" x14ac:dyDescent="0.25">
      <c r="N1672" s="55"/>
    </row>
    <row r="1673" spans="14:14" x14ac:dyDescent="0.25">
      <c r="N1673" s="55"/>
    </row>
    <row r="1674" spans="14:14" x14ac:dyDescent="0.25">
      <c r="N1674" s="55"/>
    </row>
    <row r="1675" spans="14:14" x14ac:dyDescent="0.25">
      <c r="N1675" s="55"/>
    </row>
    <row r="1676" spans="14:14" x14ac:dyDescent="0.25">
      <c r="N1676" s="55"/>
    </row>
    <row r="1677" spans="14:14" x14ac:dyDescent="0.25">
      <c r="N1677" s="55"/>
    </row>
    <row r="1678" spans="14:14" x14ac:dyDescent="0.25">
      <c r="N1678" s="55"/>
    </row>
    <row r="1679" spans="14:14" x14ac:dyDescent="0.25">
      <c r="N1679" s="55"/>
    </row>
    <row r="1680" spans="14:14" x14ac:dyDescent="0.25">
      <c r="N1680" s="55"/>
    </row>
    <row r="1681" spans="14:14" x14ac:dyDescent="0.25">
      <c r="N1681" s="55"/>
    </row>
    <row r="1682" spans="14:14" x14ac:dyDescent="0.25">
      <c r="N1682" s="55"/>
    </row>
    <row r="1683" spans="14:14" x14ac:dyDescent="0.25">
      <c r="N1683" s="55"/>
    </row>
    <row r="1684" spans="14:14" x14ac:dyDescent="0.25">
      <c r="N1684" s="55"/>
    </row>
    <row r="1685" spans="14:14" x14ac:dyDescent="0.25">
      <c r="N1685" s="55"/>
    </row>
    <row r="1686" spans="14:14" x14ac:dyDescent="0.25">
      <c r="N1686" s="55"/>
    </row>
    <row r="1687" spans="14:14" x14ac:dyDescent="0.25">
      <c r="N1687" s="55"/>
    </row>
    <row r="1688" spans="14:14" x14ac:dyDescent="0.25">
      <c r="N1688" s="55"/>
    </row>
    <row r="1689" spans="14:14" x14ac:dyDescent="0.25">
      <c r="N1689" s="55"/>
    </row>
    <row r="1690" spans="14:14" x14ac:dyDescent="0.25">
      <c r="N1690" s="55"/>
    </row>
    <row r="1691" spans="14:14" x14ac:dyDescent="0.25">
      <c r="N1691" s="55"/>
    </row>
    <row r="1692" spans="14:14" x14ac:dyDescent="0.25">
      <c r="N1692" s="55"/>
    </row>
    <row r="1693" spans="14:14" x14ac:dyDescent="0.25">
      <c r="N1693" s="55"/>
    </row>
    <row r="1694" spans="14:14" x14ac:dyDescent="0.25">
      <c r="N1694" s="55"/>
    </row>
    <row r="1695" spans="14:14" x14ac:dyDescent="0.25">
      <c r="N1695" s="55"/>
    </row>
    <row r="1696" spans="14:14" x14ac:dyDescent="0.25">
      <c r="N1696" s="55"/>
    </row>
    <row r="1697" spans="14:14" x14ac:dyDescent="0.25">
      <c r="N1697" s="55"/>
    </row>
    <row r="1698" spans="14:14" x14ac:dyDescent="0.25">
      <c r="N1698" s="55"/>
    </row>
    <row r="1699" spans="14:14" x14ac:dyDescent="0.25">
      <c r="N1699" s="55"/>
    </row>
    <row r="1700" spans="14:14" x14ac:dyDescent="0.25">
      <c r="N1700" s="55"/>
    </row>
    <row r="1701" spans="14:14" x14ac:dyDescent="0.25">
      <c r="N1701" s="55"/>
    </row>
    <row r="1702" spans="14:14" x14ac:dyDescent="0.25">
      <c r="N1702" s="55"/>
    </row>
    <row r="1703" spans="14:14" x14ac:dyDescent="0.25">
      <c r="N1703" s="55"/>
    </row>
    <row r="1704" spans="14:14" x14ac:dyDescent="0.25">
      <c r="N1704" s="55"/>
    </row>
    <row r="1705" spans="14:14" x14ac:dyDescent="0.25">
      <c r="N1705" s="55"/>
    </row>
    <row r="1706" spans="14:14" x14ac:dyDescent="0.25">
      <c r="N1706" s="55"/>
    </row>
    <row r="1707" spans="14:14" x14ac:dyDescent="0.25">
      <c r="N1707" s="55"/>
    </row>
    <row r="1708" spans="14:14" x14ac:dyDescent="0.25">
      <c r="N1708" s="55"/>
    </row>
    <row r="1709" spans="14:14" x14ac:dyDescent="0.25">
      <c r="N1709" s="55"/>
    </row>
    <row r="1710" spans="14:14" x14ac:dyDescent="0.25">
      <c r="N1710" s="55"/>
    </row>
    <row r="1711" spans="14:14" x14ac:dyDescent="0.25">
      <c r="N1711" s="55"/>
    </row>
    <row r="1712" spans="14:14" x14ac:dyDescent="0.25">
      <c r="N1712" s="55"/>
    </row>
    <row r="1713" spans="14:14" x14ac:dyDescent="0.25">
      <c r="N1713" s="55"/>
    </row>
    <row r="1714" spans="14:14" x14ac:dyDescent="0.25">
      <c r="N1714" s="55"/>
    </row>
    <row r="1715" spans="14:14" x14ac:dyDescent="0.25">
      <c r="N1715" s="55"/>
    </row>
    <row r="1716" spans="14:14" x14ac:dyDescent="0.25">
      <c r="N1716" s="55"/>
    </row>
    <row r="1717" spans="14:14" x14ac:dyDescent="0.25">
      <c r="N1717" s="55"/>
    </row>
    <row r="1718" spans="14:14" x14ac:dyDescent="0.25">
      <c r="N1718" s="55"/>
    </row>
    <row r="1719" spans="14:14" x14ac:dyDescent="0.25">
      <c r="N1719" s="55"/>
    </row>
    <row r="1720" spans="14:14" x14ac:dyDescent="0.25">
      <c r="N1720" s="55"/>
    </row>
    <row r="1721" spans="14:14" x14ac:dyDescent="0.25">
      <c r="N1721" s="55"/>
    </row>
    <row r="1722" spans="14:14" x14ac:dyDescent="0.25">
      <c r="N1722" s="55"/>
    </row>
    <row r="1723" spans="14:14" x14ac:dyDescent="0.25">
      <c r="N1723" s="55"/>
    </row>
    <row r="1724" spans="14:14" x14ac:dyDescent="0.25">
      <c r="N1724" s="55"/>
    </row>
    <row r="1725" spans="14:14" x14ac:dyDescent="0.25">
      <c r="N1725" s="55"/>
    </row>
    <row r="1726" spans="14:14" x14ac:dyDescent="0.25">
      <c r="N1726" s="55"/>
    </row>
    <row r="1727" spans="14:14" x14ac:dyDescent="0.25">
      <c r="N1727" s="55"/>
    </row>
    <row r="1728" spans="14:14" x14ac:dyDescent="0.25">
      <c r="N1728" s="55"/>
    </row>
    <row r="1729" spans="14:14" x14ac:dyDescent="0.25">
      <c r="N1729" s="55"/>
    </row>
    <row r="1730" spans="14:14" x14ac:dyDescent="0.25">
      <c r="N1730" s="55"/>
    </row>
    <row r="1731" spans="14:14" x14ac:dyDescent="0.25">
      <c r="N1731" s="55"/>
    </row>
    <row r="1732" spans="14:14" x14ac:dyDescent="0.25">
      <c r="N1732" s="55"/>
    </row>
    <row r="1733" spans="14:14" x14ac:dyDescent="0.25">
      <c r="N1733" s="55"/>
    </row>
    <row r="1734" spans="14:14" x14ac:dyDescent="0.25">
      <c r="N1734" s="55"/>
    </row>
    <row r="1735" spans="14:14" x14ac:dyDescent="0.25">
      <c r="N1735" s="55"/>
    </row>
    <row r="1736" spans="14:14" x14ac:dyDescent="0.25">
      <c r="N1736" s="55"/>
    </row>
    <row r="1737" spans="14:14" x14ac:dyDescent="0.25">
      <c r="N1737" s="55"/>
    </row>
    <row r="1738" spans="14:14" x14ac:dyDescent="0.25">
      <c r="N1738" s="55"/>
    </row>
    <row r="1739" spans="14:14" x14ac:dyDescent="0.25">
      <c r="N1739" s="55"/>
    </row>
    <row r="1740" spans="14:14" x14ac:dyDescent="0.25">
      <c r="N1740" s="55"/>
    </row>
    <row r="1741" spans="14:14" x14ac:dyDescent="0.25">
      <c r="N1741" s="55"/>
    </row>
    <row r="1742" spans="14:14" x14ac:dyDescent="0.25">
      <c r="N1742" s="55"/>
    </row>
    <row r="1743" spans="14:14" x14ac:dyDescent="0.25">
      <c r="N1743" s="55"/>
    </row>
    <row r="1744" spans="14:14" x14ac:dyDescent="0.25">
      <c r="N1744" s="55"/>
    </row>
    <row r="1745" spans="14:14" x14ac:dyDescent="0.25">
      <c r="N1745" s="55"/>
    </row>
    <row r="1746" spans="14:14" x14ac:dyDescent="0.25">
      <c r="N1746" s="55"/>
    </row>
    <row r="1747" spans="14:14" x14ac:dyDescent="0.25">
      <c r="N1747" s="55"/>
    </row>
    <row r="1748" spans="14:14" x14ac:dyDescent="0.25">
      <c r="N1748" s="55"/>
    </row>
    <row r="1749" spans="14:14" x14ac:dyDescent="0.25">
      <c r="N1749" s="55"/>
    </row>
    <row r="1750" spans="14:14" x14ac:dyDescent="0.25">
      <c r="N1750" s="55"/>
    </row>
    <row r="1751" spans="14:14" x14ac:dyDescent="0.25">
      <c r="N1751" s="55"/>
    </row>
    <row r="1752" spans="14:14" x14ac:dyDescent="0.25">
      <c r="N1752" s="55"/>
    </row>
    <row r="1753" spans="14:14" x14ac:dyDescent="0.25">
      <c r="N1753" s="55"/>
    </row>
    <row r="1754" spans="14:14" x14ac:dyDescent="0.25">
      <c r="N1754" s="55"/>
    </row>
    <row r="1755" spans="14:14" x14ac:dyDescent="0.25">
      <c r="N1755" s="55"/>
    </row>
    <row r="1756" spans="14:14" x14ac:dyDescent="0.25">
      <c r="N1756" s="55"/>
    </row>
    <row r="1757" spans="14:14" x14ac:dyDescent="0.25">
      <c r="N1757" s="55"/>
    </row>
    <row r="1758" spans="14:14" x14ac:dyDescent="0.25">
      <c r="N1758" s="55"/>
    </row>
    <row r="1759" spans="14:14" x14ac:dyDescent="0.25">
      <c r="N1759" s="55"/>
    </row>
    <row r="1760" spans="14:14" x14ac:dyDescent="0.25">
      <c r="N1760" s="55"/>
    </row>
    <row r="1761" spans="14:14" x14ac:dyDescent="0.25">
      <c r="N1761" s="55"/>
    </row>
    <row r="1762" spans="14:14" x14ac:dyDescent="0.25">
      <c r="N1762" s="55"/>
    </row>
    <row r="1763" spans="14:14" x14ac:dyDescent="0.25">
      <c r="N1763" s="55"/>
    </row>
    <row r="1764" spans="14:14" x14ac:dyDescent="0.25">
      <c r="N1764" s="55"/>
    </row>
    <row r="1765" spans="14:14" x14ac:dyDescent="0.25">
      <c r="N1765" s="55"/>
    </row>
    <row r="1766" spans="14:14" x14ac:dyDescent="0.25">
      <c r="N1766" s="55"/>
    </row>
    <row r="1767" spans="14:14" x14ac:dyDescent="0.25">
      <c r="N1767" s="55"/>
    </row>
    <row r="1768" spans="14:14" x14ac:dyDescent="0.25">
      <c r="N1768" s="55"/>
    </row>
    <row r="1769" spans="14:14" x14ac:dyDescent="0.25">
      <c r="N1769" s="55"/>
    </row>
    <row r="1770" spans="14:14" x14ac:dyDescent="0.25">
      <c r="N1770" s="55"/>
    </row>
    <row r="1771" spans="14:14" x14ac:dyDescent="0.25">
      <c r="N1771" s="55"/>
    </row>
    <row r="1772" spans="14:14" x14ac:dyDescent="0.25">
      <c r="N1772" s="55"/>
    </row>
    <row r="1773" spans="14:14" x14ac:dyDescent="0.25">
      <c r="N1773" s="55"/>
    </row>
    <row r="1774" spans="14:14" x14ac:dyDescent="0.25">
      <c r="N1774" s="55"/>
    </row>
    <row r="1775" spans="14:14" x14ac:dyDescent="0.25">
      <c r="N1775" s="55"/>
    </row>
    <row r="1776" spans="14:14" x14ac:dyDescent="0.25">
      <c r="N1776" s="55"/>
    </row>
    <row r="1777" spans="14:14" x14ac:dyDescent="0.25">
      <c r="N1777" s="55"/>
    </row>
    <row r="1778" spans="14:14" x14ac:dyDescent="0.25">
      <c r="N1778" s="55"/>
    </row>
    <row r="1779" spans="14:14" x14ac:dyDescent="0.25">
      <c r="N1779" s="55"/>
    </row>
    <row r="1780" spans="14:14" x14ac:dyDescent="0.25">
      <c r="N1780" s="55"/>
    </row>
    <row r="1781" spans="14:14" x14ac:dyDescent="0.25">
      <c r="N1781" s="55"/>
    </row>
    <row r="1782" spans="14:14" x14ac:dyDescent="0.25">
      <c r="N1782" s="55"/>
    </row>
    <row r="1783" spans="14:14" x14ac:dyDescent="0.25">
      <c r="N1783" s="55"/>
    </row>
    <row r="1784" spans="14:14" x14ac:dyDescent="0.25">
      <c r="N1784" s="55"/>
    </row>
    <row r="1785" spans="14:14" x14ac:dyDescent="0.25">
      <c r="N1785" s="55"/>
    </row>
    <row r="1786" spans="14:14" x14ac:dyDescent="0.25">
      <c r="N1786" s="55"/>
    </row>
    <row r="1787" spans="14:14" x14ac:dyDescent="0.25">
      <c r="N1787" s="55"/>
    </row>
    <row r="1788" spans="14:14" x14ac:dyDescent="0.25">
      <c r="N1788" s="55"/>
    </row>
    <row r="1789" spans="14:14" x14ac:dyDescent="0.25">
      <c r="N1789" s="55"/>
    </row>
    <row r="1790" spans="14:14" x14ac:dyDescent="0.25">
      <c r="N1790" s="55"/>
    </row>
    <row r="1791" spans="14:14" x14ac:dyDescent="0.25">
      <c r="N1791" s="55"/>
    </row>
    <row r="1792" spans="14:14" x14ac:dyDescent="0.25">
      <c r="N1792" s="55"/>
    </row>
    <row r="1793" spans="14:14" x14ac:dyDescent="0.25">
      <c r="N1793" s="55"/>
    </row>
    <row r="1794" spans="14:14" x14ac:dyDescent="0.25">
      <c r="N1794" s="55"/>
    </row>
    <row r="1795" spans="14:14" x14ac:dyDescent="0.25">
      <c r="N1795" s="55"/>
    </row>
    <row r="1796" spans="14:14" x14ac:dyDescent="0.25">
      <c r="N1796" s="55"/>
    </row>
    <row r="1797" spans="14:14" x14ac:dyDescent="0.25">
      <c r="N1797" s="55"/>
    </row>
    <row r="1798" spans="14:14" x14ac:dyDescent="0.25">
      <c r="N1798" s="55"/>
    </row>
    <row r="1799" spans="14:14" x14ac:dyDescent="0.25">
      <c r="N1799" s="55"/>
    </row>
    <row r="1800" spans="14:14" x14ac:dyDescent="0.25">
      <c r="N1800" s="55"/>
    </row>
    <row r="1801" spans="14:14" x14ac:dyDescent="0.25">
      <c r="N1801" s="55"/>
    </row>
    <row r="1802" spans="14:14" x14ac:dyDescent="0.25">
      <c r="N1802" s="55"/>
    </row>
    <row r="1803" spans="14:14" x14ac:dyDescent="0.25">
      <c r="N1803" s="55"/>
    </row>
    <row r="1804" spans="14:14" x14ac:dyDescent="0.25">
      <c r="N1804" s="55"/>
    </row>
    <row r="1805" spans="14:14" x14ac:dyDescent="0.25">
      <c r="N1805" s="55"/>
    </row>
    <row r="1806" spans="14:14" x14ac:dyDescent="0.25">
      <c r="N1806" s="55"/>
    </row>
    <row r="1807" spans="14:14" x14ac:dyDescent="0.25">
      <c r="N1807" s="55"/>
    </row>
    <row r="1808" spans="14:14" x14ac:dyDescent="0.25">
      <c r="N1808" s="55"/>
    </row>
    <row r="1809" spans="14:14" x14ac:dyDescent="0.25">
      <c r="N1809" s="55"/>
    </row>
    <row r="1810" spans="14:14" x14ac:dyDescent="0.25">
      <c r="N1810" s="55"/>
    </row>
    <row r="1811" spans="14:14" x14ac:dyDescent="0.25">
      <c r="N1811" s="55"/>
    </row>
    <row r="1812" spans="14:14" x14ac:dyDescent="0.25">
      <c r="N1812" s="55"/>
    </row>
    <row r="1813" spans="14:14" x14ac:dyDescent="0.25">
      <c r="N1813" s="55"/>
    </row>
    <row r="1814" spans="14:14" x14ac:dyDescent="0.25">
      <c r="N1814" s="55"/>
    </row>
    <row r="1815" spans="14:14" x14ac:dyDescent="0.25">
      <c r="N1815" s="55"/>
    </row>
    <row r="1816" spans="14:14" x14ac:dyDescent="0.25">
      <c r="N1816" s="55"/>
    </row>
    <row r="1817" spans="14:14" x14ac:dyDescent="0.25">
      <c r="N1817" s="55"/>
    </row>
    <row r="1818" spans="14:14" x14ac:dyDescent="0.25">
      <c r="N1818" s="55"/>
    </row>
    <row r="1819" spans="14:14" x14ac:dyDescent="0.25">
      <c r="N1819" s="55"/>
    </row>
    <row r="1820" spans="14:14" x14ac:dyDescent="0.25">
      <c r="N1820" s="55"/>
    </row>
    <row r="1821" spans="14:14" x14ac:dyDescent="0.25">
      <c r="N1821" s="55"/>
    </row>
    <row r="1822" spans="14:14" x14ac:dyDescent="0.25">
      <c r="N1822" s="55"/>
    </row>
    <row r="1823" spans="14:14" x14ac:dyDescent="0.25">
      <c r="N1823" s="55"/>
    </row>
    <row r="1824" spans="14:14" x14ac:dyDescent="0.25">
      <c r="N1824" s="55"/>
    </row>
    <row r="1825" spans="14:14" x14ac:dyDescent="0.25">
      <c r="N1825" s="55"/>
    </row>
    <row r="1826" spans="14:14" x14ac:dyDescent="0.25">
      <c r="N1826" s="55"/>
    </row>
    <row r="1827" spans="14:14" x14ac:dyDescent="0.25">
      <c r="N1827" s="55"/>
    </row>
    <row r="1828" spans="14:14" x14ac:dyDescent="0.25">
      <c r="N1828" s="55"/>
    </row>
    <row r="1829" spans="14:14" x14ac:dyDescent="0.25">
      <c r="N1829" s="55"/>
    </row>
    <row r="1830" spans="14:14" x14ac:dyDescent="0.25">
      <c r="N1830" s="55"/>
    </row>
    <row r="1831" spans="14:14" x14ac:dyDescent="0.25">
      <c r="N1831" s="55"/>
    </row>
    <row r="1832" spans="14:14" x14ac:dyDescent="0.25">
      <c r="N1832" s="55"/>
    </row>
    <row r="1833" spans="14:14" x14ac:dyDescent="0.25">
      <c r="N1833" s="55"/>
    </row>
    <row r="1834" spans="14:14" x14ac:dyDescent="0.25">
      <c r="N1834" s="55"/>
    </row>
    <row r="1835" spans="14:14" x14ac:dyDescent="0.25">
      <c r="N1835" s="55"/>
    </row>
    <row r="1836" spans="14:14" x14ac:dyDescent="0.25">
      <c r="N1836" s="55"/>
    </row>
    <row r="1837" spans="14:14" x14ac:dyDescent="0.25">
      <c r="N1837" s="55"/>
    </row>
    <row r="1838" spans="14:14" x14ac:dyDescent="0.25">
      <c r="N1838" s="55"/>
    </row>
    <row r="1839" spans="14:14" x14ac:dyDescent="0.25">
      <c r="N1839" s="55"/>
    </row>
    <row r="1840" spans="14:14" x14ac:dyDescent="0.25">
      <c r="N1840" s="55"/>
    </row>
    <row r="1841" spans="14:14" x14ac:dyDescent="0.25">
      <c r="N1841" s="55"/>
    </row>
    <row r="1842" spans="14:14" x14ac:dyDescent="0.25">
      <c r="N1842" s="55"/>
    </row>
    <row r="1843" spans="14:14" x14ac:dyDescent="0.25">
      <c r="N1843" s="55"/>
    </row>
    <row r="1844" spans="14:14" x14ac:dyDescent="0.25">
      <c r="N1844" s="55"/>
    </row>
    <row r="1845" spans="14:14" x14ac:dyDescent="0.25">
      <c r="N1845" s="55"/>
    </row>
    <row r="1846" spans="14:14" x14ac:dyDescent="0.25">
      <c r="N1846" s="55"/>
    </row>
    <row r="1847" spans="14:14" x14ac:dyDescent="0.25">
      <c r="N1847" s="55"/>
    </row>
    <row r="1848" spans="14:14" x14ac:dyDescent="0.25">
      <c r="N1848" s="55"/>
    </row>
    <row r="1849" spans="14:14" x14ac:dyDescent="0.25">
      <c r="N1849" s="55"/>
    </row>
    <row r="1850" spans="14:14" x14ac:dyDescent="0.25">
      <c r="N1850" s="55"/>
    </row>
    <row r="1851" spans="14:14" x14ac:dyDescent="0.25">
      <c r="N1851" s="55"/>
    </row>
    <row r="1852" spans="14:14" x14ac:dyDescent="0.25">
      <c r="N1852" s="55"/>
    </row>
    <row r="1853" spans="14:14" x14ac:dyDescent="0.25">
      <c r="N1853" s="55"/>
    </row>
    <row r="1854" spans="14:14" x14ac:dyDescent="0.25">
      <c r="N1854" s="55"/>
    </row>
    <row r="1855" spans="14:14" x14ac:dyDescent="0.25">
      <c r="N1855" s="55"/>
    </row>
    <row r="1856" spans="14:14" x14ac:dyDescent="0.25">
      <c r="N1856" s="55"/>
    </row>
    <row r="1857" spans="14:14" x14ac:dyDescent="0.25">
      <c r="N1857" s="55"/>
    </row>
    <row r="1858" spans="14:14" x14ac:dyDescent="0.25">
      <c r="N1858" s="55"/>
    </row>
    <row r="1859" spans="14:14" x14ac:dyDescent="0.25">
      <c r="N1859" s="55"/>
    </row>
    <row r="1860" spans="14:14" x14ac:dyDescent="0.25">
      <c r="N1860" s="55"/>
    </row>
    <row r="1861" spans="14:14" x14ac:dyDescent="0.25">
      <c r="N1861" s="55"/>
    </row>
    <row r="1862" spans="14:14" x14ac:dyDescent="0.25">
      <c r="N1862" s="55"/>
    </row>
    <row r="1863" spans="14:14" x14ac:dyDescent="0.25">
      <c r="N1863" s="55"/>
    </row>
    <row r="1864" spans="14:14" x14ac:dyDescent="0.25">
      <c r="N1864" s="55"/>
    </row>
    <row r="1865" spans="14:14" x14ac:dyDescent="0.25">
      <c r="N1865" s="55"/>
    </row>
    <row r="1866" spans="14:14" x14ac:dyDescent="0.25">
      <c r="N1866" s="55"/>
    </row>
    <row r="1867" spans="14:14" x14ac:dyDescent="0.25">
      <c r="N1867" s="55"/>
    </row>
    <row r="1868" spans="14:14" x14ac:dyDescent="0.25">
      <c r="N1868" s="55"/>
    </row>
    <row r="1869" spans="14:14" x14ac:dyDescent="0.25">
      <c r="N1869" s="55"/>
    </row>
    <row r="1870" spans="14:14" x14ac:dyDescent="0.25">
      <c r="N1870" s="55"/>
    </row>
    <row r="1871" spans="14:14" x14ac:dyDescent="0.25">
      <c r="N1871" s="55"/>
    </row>
    <row r="1872" spans="14:14" x14ac:dyDescent="0.25">
      <c r="N1872" s="55"/>
    </row>
    <row r="1873" spans="14:14" x14ac:dyDescent="0.25">
      <c r="N1873" s="55"/>
    </row>
    <row r="1874" spans="14:14" x14ac:dyDescent="0.25">
      <c r="N1874" s="55"/>
    </row>
    <row r="1875" spans="14:14" x14ac:dyDescent="0.25">
      <c r="N1875" s="55"/>
    </row>
    <row r="1876" spans="14:14" x14ac:dyDescent="0.25">
      <c r="N1876" s="55"/>
    </row>
    <row r="1877" spans="14:14" x14ac:dyDescent="0.25">
      <c r="N1877" s="55"/>
    </row>
    <row r="1878" spans="14:14" x14ac:dyDescent="0.25">
      <c r="N1878" s="55"/>
    </row>
    <row r="1879" spans="14:14" x14ac:dyDescent="0.25">
      <c r="N1879" s="55"/>
    </row>
    <row r="1880" spans="14:14" x14ac:dyDescent="0.25">
      <c r="N1880" s="55"/>
    </row>
    <row r="1881" spans="14:14" x14ac:dyDescent="0.25">
      <c r="N1881" s="55"/>
    </row>
    <row r="1882" spans="14:14" x14ac:dyDescent="0.25">
      <c r="N1882" s="55"/>
    </row>
    <row r="1883" spans="14:14" x14ac:dyDescent="0.25">
      <c r="N1883" s="55"/>
    </row>
    <row r="1884" spans="14:14" x14ac:dyDescent="0.25">
      <c r="N1884" s="55"/>
    </row>
    <row r="1885" spans="14:14" x14ac:dyDescent="0.25">
      <c r="N1885" s="55"/>
    </row>
    <row r="1886" spans="14:14" x14ac:dyDescent="0.25">
      <c r="N1886" s="55"/>
    </row>
    <row r="1887" spans="14:14" x14ac:dyDescent="0.25">
      <c r="N1887" s="55"/>
    </row>
    <row r="1888" spans="14:14" x14ac:dyDescent="0.25">
      <c r="N1888" s="55"/>
    </row>
    <row r="1889" spans="14:14" x14ac:dyDescent="0.25">
      <c r="N1889" s="55"/>
    </row>
    <row r="1890" spans="14:14" x14ac:dyDescent="0.25">
      <c r="N1890" s="55"/>
    </row>
    <row r="1891" spans="14:14" x14ac:dyDescent="0.25">
      <c r="N1891" s="55"/>
    </row>
    <row r="1892" spans="14:14" x14ac:dyDescent="0.25">
      <c r="N1892" s="55"/>
    </row>
    <row r="1893" spans="14:14" x14ac:dyDescent="0.25">
      <c r="N1893" s="55"/>
    </row>
    <row r="1894" spans="14:14" x14ac:dyDescent="0.25">
      <c r="N1894" s="55"/>
    </row>
    <row r="1895" spans="14:14" x14ac:dyDescent="0.25">
      <c r="N1895" s="55"/>
    </row>
    <row r="1896" spans="14:14" x14ac:dyDescent="0.25">
      <c r="N1896" s="55"/>
    </row>
    <row r="1897" spans="14:14" x14ac:dyDescent="0.25">
      <c r="N1897" s="55"/>
    </row>
    <row r="1898" spans="14:14" x14ac:dyDescent="0.25">
      <c r="N1898" s="55"/>
    </row>
    <row r="1899" spans="14:14" x14ac:dyDescent="0.25">
      <c r="N1899" s="55"/>
    </row>
    <row r="1900" spans="14:14" x14ac:dyDescent="0.25">
      <c r="N1900" s="55"/>
    </row>
    <row r="1901" spans="14:14" x14ac:dyDescent="0.25">
      <c r="N1901" s="55"/>
    </row>
    <row r="1902" spans="14:14" x14ac:dyDescent="0.25">
      <c r="N1902" s="55"/>
    </row>
    <row r="1903" spans="14:14" x14ac:dyDescent="0.25">
      <c r="N1903" s="55"/>
    </row>
    <row r="1904" spans="14:14" x14ac:dyDescent="0.25">
      <c r="N1904" s="55"/>
    </row>
    <row r="1905" spans="14:14" x14ac:dyDescent="0.25">
      <c r="N1905" s="55"/>
    </row>
    <row r="1906" spans="14:14" x14ac:dyDescent="0.25">
      <c r="N1906" s="55"/>
    </row>
    <row r="1907" spans="14:14" x14ac:dyDescent="0.25">
      <c r="N1907" s="55"/>
    </row>
    <row r="1908" spans="14:14" x14ac:dyDescent="0.25">
      <c r="N1908" s="55"/>
    </row>
    <row r="1909" spans="14:14" x14ac:dyDescent="0.25">
      <c r="N1909" s="55"/>
    </row>
    <row r="1910" spans="14:14" x14ac:dyDescent="0.25">
      <c r="N1910" s="55"/>
    </row>
    <row r="1911" spans="14:14" x14ac:dyDescent="0.25">
      <c r="N1911" s="55"/>
    </row>
    <row r="1912" spans="14:14" x14ac:dyDescent="0.25">
      <c r="N1912" s="55"/>
    </row>
    <row r="1913" spans="14:14" x14ac:dyDescent="0.25">
      <c r="N1913" s="55"/>
    </row>
    <row r="1914" spans="14:14" x14ac:dyDescent="0.25">
      <c r="N1914" s="55"/>
    </row>
    <row r="1915" spans="14:14" x14ac:dyDescent="0.25">
      <c r="N1915" s="55"/>
    </row>
    <row r="1916" spans="14:14" x14ac:dyDescent="0.25">
      <c r="N1916" s="55"/>
    </row>
    <row r="1917" spans="14:14" x14ac:dyDescent="0.25">
      <c r="N1917" s="55"/>
    </row>
    <row r="1918" spans="14:14" x14ac:dyDescent="0.25">
      <c r="N1918" s="55"/>
    </row>
    <row r="1919" spans="14:14" x14ac:dyDescent="0.25">
      <c r="N1919" s="55"/>
    </row>
    <row r="1920" spans="14:14" x14ac:dyDescent="0.25">
      <c r="N1920" s="55"/>
    </row>
    <row r="1921" spans="14:14" x14ac:dyDescent="0.25">
      <c r="N1921" s="55"/>
    </row>
    <row r="1922" spans="14:14" x14ac:dyDescent="0.25">
      <c r="N1922" s="55"/>
    </row>
    <row r="1923" spans="14:14" x14ac:dyDescent="0.25">
      <c r="N1923" s="55"/>
    </row>
    <row r="1924" spans="14:14" x14ac:dyDescent="0.25">
      <c r="N1924" s="55"/>
    </row>
    <row r="1925" spans="14:14" x14ac:dyDescent="0.25">
      <c r="N1925" s="55"/>
    </row>
    <row r="1926" spans="14:14" x14ac:dyDescent="0.25">
      <c r="N1926" s="55"/>
    </row>
    <row r="1927" spans="14:14" x14ac:dyDescent="0.25">
      <c r="N1927" s="55"/>
    </row>
    <row r="1928" spans="14:14" x14ac:dyDescent="0.25">
      <c r="N1928" s="55"/>
    </row>
    <row r="1929" spans="14:14" x14ac:dyDescent="0.25">
      <c r="N1929" s="55"/>
    </row>
    <row r="1930" spans="14:14" x14ac:dyDescent="0.25">
      <c r="N1930" s="55"/>
    </row>
    <row r="1931" spans="14:14" x14ac:dyDescent="0.25">
      <c r="N1931" s="55"/>
    </row>
    <row r="1932" spans="14:14" x14ac:dyDescent="0.25">
      <c r="N1932" s="55"/>
    </row>
    <row r="1933" spans="14:14" x14ac:dyDescent="0.25">
      <c r="N1933" s="55"/>
    </row>
    <row r="1934" spans="14:14" x14ac:dyDescent="0.25">
      <c r="N1934" s="55"/>
    </row>
    <row r="1935" spans="14:14" x14ac:dyDescent="0.25">
      <c r="N1935" s="55"/>
    </row>
    <row r="1936" spans="14:14" x14ac:dyDescent="0.25">
      <c r="N1936" s="55"/>
    </row>
    <row r="1937" spans="14:14" x14ac:dyDescent="0.25">
      <c r="N1937" s="55"/>
    </row>
    <row r="1938" spans="14:14" x14ac:dyDescent="0.25">
      <c r="N1938" s="55"/>
    </row>
    <row r="1939" spans="14:14" x14ac:dyDescent="0.25">
      <c r="N1939" s="55"/>
    </row>
    <row r="1940" spans="14:14" x14ac:dyDescent="0.25">
      <c r="N1940" s="55"/>
    </row>
    <row r="1941" spans="14:14" x14ac:dyDescent="0.25">
      <c r="N1941" s="55"/>
    </row>
    <row r="1942" spans="14:14" x14ac:dyDescent="0.25">
      <c r="N1942" s="55"/>
    </row>
    <row r="1943" spans="14:14" x14ac:dyDescent="0.25">
      <c r="N1943" s="55"/>
    </row>
    <row r="1944" spans="14:14" x14ac:dyDescent="0.25">
      <c r="N1944" s="55"/>
    </row>
    <row r="1945" spans="14:14" x14ac:dyDescent="0.25">
      <c r="N1945" s="55"/>
    </row>
    <row r="1946" spans="14:14" x14ac:dyDescent="0.25">
      <c r="N1946" s="55"/>
    </row>
    <row r="1947" spans="14:14" x14ac:dyDescent="0.25">
      <c r="N1947" s="55"/>
    </row>
    <row r="1948" spans="14:14" x14ac:dyDescent="0.25">
      <c r="N1948" s="55"/>
    </row>
    <row r="1949" spans="14:14" x14ac:dyDescent="0.25">
      <c r="N1949" s="55"/>
    </row>
    <row r="1950" spans="14:14" x14ac:dyDescent="0.25">
      <c r="N1950" s="55"/>
    </row>
    <row r="1951" spans="14:14" x14ac:dyDescent="0.25">
      <c r="N1951" s="55"/>
    </row>
    <row r="1952" spans="14:14" x14ac:dyDescent="0.25">
      <c r="N1952" s="55"/>
    </row>
    <row r="1953" spans="14:14" x14ac:dyDescent="0.25">
      <c r="N1953" s="55"/>
    </row>
    <row r="1954" spans="14:14" x14ac:dyDescent="0.25">
      <c r="N1954" s="55"/>
    </row>
    <row r="1955" spans="14:14" x14ac:dyDescent="0.25">
      <c r="N1955" s="55"/>
    </row>
    <row r="1956" spans="14:14" x14ac:dyDescent="0.25">
      <c r="N1956" s="55"/>
    </row>
    <row r="1957" spans="14:14" x14ac:dyDescent="0.25">
      <c r="N1957" s="55"/>
    </row>
    <row r="1958" spans="14:14" x14ac:dyDescent="0.25">
      <c r="N1958" s="55"/>
    </row>
    <row r="1959" spans="14:14" x14ac:dyDescent="0.25">
      <c r="N1959" s="55"/>
    </row>
    <row r="1960" spans="14:14" x14ac:dyDescent="0.25">
      <c r="N1960" s="55"/>
    </row>
    <row r="1961" spans="14:14" x14ac:dyDescent="0.25">
      <c r="N1961" s="55"/>
    </row>
    <row r="1962" spans="14:14" x14ac:dyDescent="0.25">
      <c r="N1962" s="55"/>
    </row>
    <row r="1963" spans="14:14" x14ac:dyDescent="0.25">
      <c r="N1963" s="55"/>
    </row>
    <row r="1964" spans="14:14" x14ac:dyDescent="0.25">
      <c r="N1964" s="55"/>
    </row>
    <row r="1965" spans="14:14" x14ac:dyDescent="0.25">
      <c r="N1965" s="55"/>
    </row>
    <row r="1966" spans="14:14" x14ac:dyDescent="0.25">
      <c r="N1966" s="55"/>
    </row>
    <row r="1967" spans="14:14" x14ac:dyDescent="0.25">
      <c r="N1967" s="55"/>
    </row>
    <row r="1968" spans="14:14" x14ac:dyDescent="0.25">
      <c r="N1968" s="55"/>
    </row>
    <row r="1969" spans="14:14" x14ac:dyDescent="0.25">
      <c r="N1969" s="55"/>
    </row>
    <row r="1970" spans="14:14" x14ac:dyDescent="0.25">
      <c r="N1970" s="55"/>
    </row>
    <row r="1971" spans="14:14" x14ac:dyDescent="0.25">
      <c r="N1971" s="55"/>
    </row>
    <row r="1972" spans="14:14" x14ac:dyDescent="0.25">
      <c r="N1972" s="55"/>
    </row>
    <row r="1973" spans="14:14" x14ac:dyDescent="0.25">
      <c r="N1973" s="55"/>
    </row>
    <row r="1974" spans="14:14" x14ac:dyDescent="0.25">
      <c r="N1974" s="55"/>
    </row>
    <row r="1975" spans="14:14" x14ac:dyDescent="0.25">
      <c r="N1975" s="55"/>
    </row>
    <row r="1976" spans="14:14" x14ac:dyDescent="0.25">
      <c r="N1976" s="55"/>
    </row>
    <row r="1977" spans="14:14" x14ac:dyDescent="0.25">
      <c r="N1977" s="55"/>
    </row>
    <row r="1978" spans="14:14" x14ac:dyDescent="0.25">
      <c r="N1978" s="55"/>
    </row>
    <row r="1979" spans="14:14" x14ac:dyDescent="0.25">
      <c r="N1979" s="55"/>
    </row>
    <row r="1980" spans="14:14" x14ac:dyDescent="0.25">
      <c r="N1980" s="55"/>
    </row>
    <row r="1981" spans="14:14" x14ac:dyDescent="0.25">
      <c r="N1981" s="55"/>
    </row>
    <row r="1982" spans="14:14" x14ac:dyDescent="0.25">
      <c r="N1982" s="55"/>
    </row>
    <row r="1983" spans="14:14" x14ac:dyDescent="0.25">
      <c r="N1983" s="55"/>
    </row>
    <row r="1984" spans="14:14" x14ac:dyDescent="0.25">
      <c r="N1984" s="55"/>
    </row>
    <row r="1985" spans="14:14" x14ac:dyDescent="0.25">
      <c r="N1985" s="55"/>
    </row>
    <row r="1986" spans="14:14" x14ac:dyDescent="0.25">
      <c r="N1986" s="55"/>
    </row>
    <row r="1987" spans="14:14" x14ac:dyDescent="0.25">
      <c r="N1987" s="55"/>
    </row>
    <row r="1988" spans="14:14" x14ac:dyDescent="0.25">
      <c r="N1988" s="55"/>
    </row>
    <row r="1989" spans="14:14" x14ac:dyDescent="0.25">
      <c r="N1989" s="55"/>
    </row>
    <row r="1990" spans="14:14" x14ac:dyDescent="0.25">
      <c r="N1990" s="55"/>
    </row>
    <row r="1991" spans="14:14" x14ac:dyDescent="0.25">
      <c r="N1991" s="55"/>
    </row>
    <row r="1992" spans="14:14" x14ac:dyDescent="0.25">
      <c r="N1992" s="55"/>
    </row>
    <row r="1993" spans="14:14" x14ac:dyDescent="0.25">
      <c r="N1993" s="55"/>
    </row>
    <row r="1994" spans="14:14" x14ac:dyDescent="0.25">
      <c r="N1994" s="55"/>
    </row>
    <row r="1995" spans="14:14" x14ac:dyDescent="0.25">
      <c r="N1995" s="55"/>
    </row>
    <row r="1996" spans="14:14" x14ac:dyDescent="0.25">
      <c r="N1996" s="55"/>
    </row>
    <row r="1997" spans="14:14" x14ac:dyDescent="0.25">
      <c r="N1997" s="55"/>
    </row>
    <row r="1998" spans="14:14" x14ac:dyDescent="0.25">
      <c r="N1998" s="55"/>
    </row>
    <row r="1999" spans="14:14" x14ac:dyDescent="0.25">
      <c r="N1999" s="55"/>
    </row>
    <row r="2000" spans="14:14" x14ac:dyDescent="0.25">
      <c r="N2000" s="55"/>
    </row>
    <row r="2001" spans="14:14" x14ac:dyDescent="0.25">
      <c r="N2001" s="55"/>
    </row>
    <row r="2002" spans="14:14" x14ac:dyDescent="0.25">
      <c r="N2002" s="55"/>
    </row>
    <row r="2003" spans="14:14" x14ac:dyDescent="0.25">
      <c r="N2003" s="55"/>
    </row>
    <row r="2004" spans="14:14" x14ac:dyDescent="0.25">
      <c r="N2004" s="55"/>
    </row>
    <row r="2005" spans="14:14" x14ac:dyDescent="0.25">
      <c r="N2005" s="55"/>
    </row>
    <row r="2006" spans="14:14" x14ac:dyDescent="0.25">
      <c r="N2006" s="55"/>
    </row>
    <row r="2007" spans="14:14" x14ac:dyDescent="0.25">
      <c r="N2007" s="55"/>
    </row>
    <row r="2008" spans="14:14" x14ac:dyDescent="0.25">
      <c r="N2008" s="55"/>
    </row>
    <row r="2009" spans="14:14" x14ac:dyDescent="0.25">
      <c r="N2009" s="55"/>
    </row>
    <row r="2010" spans="14:14" x14ac:dyDescent="0.25">
      <c r="N2010" s="55"/>
    </row>
    <row r="2011" spans="14:14" x14ac:dyDescent="0.25">
      <c r="N2011" s="55"/>
    </row>
    <row r="2012" spans="14:14" x14ac:dyDescent="0.25">
      <c r="N2012" s="55"/>
    </row>
    <row r="2013" spans="14:14" x14ac:dyDescent="0.25">
      <c r="N2013" s="55"/>
    </row>
    <row r="2014" spans="14:14" x14ac:dyDescent="0.25">
      <c r="N2014" s="55"/>
    </row>
    <row r="2015" spans="14:14" x14ac:dyDescent="0.25">
      <c r="N2015" s="55"/>
    </row>
    <row r="2016" spans="14:14" x14ac:dyDescent="0.25">
      <c r="N2016" s="55"/>
    </row>
    <row r="2017" spans="14:14" x14ac:dyDescent="0.25">
      <c r="N2017" s="55"/>
    </row>
    <row r="2018" spans="14:14" x14ac:dyDescent="0.25">
      <c r="N2018" s="55"/>
    </row>
    <row r="2019" spans="14:14" x14ac:dyDescent="0.25">
      <c r="N2019" s="55"/>
    </row>
    <row r="2020" spans="14:14" x14ac:dyDescent="0.25">
      <c r="N2020" s="55"/>
    </row>
    <row r="2021" spans="14:14" x14ac:dyDescent="0.25">
      <c r="N2021" s="55"/>
    </row>
    <row r="2022" spans="14:14" x14ac:dyDescent="0.25">
      <c r="N2022" s="55"/>
    </row>
    <row r="2023" spans="14:14" x14ac:dyDescent="0.25">
      <c r="N2023" s="55"/>
    </row>
    <row r="2024" spans="14:14" x14ac:dyDescent="0.25">
      <c r="N2024" s="55"/>
    </row>
    <row r="2025" spans="14:14" x14ac:dyDescent="0.25">
      <c r="N2025" s="55"/>
    </row>
    <row r="2026" spans="14:14" x14ac:dyDescent="0.25">
      <c r="N2026" s="55"/>
    </row>
    <row r="2027" spans="14:14" x14ac:dyDescent="0.25">
      <c r="N2027" s="55"/>
    </row>
    <row r="2028" spans="14:14" x14ac:dyDescent="0.25">
      <c r="N2028" s="55"/>
    </row>
    <row r="2029" spans="14:14" x14ac:dyDescent="0.25">
      <c r="N2029" s="55"/>
    </row>
    <row r="2030" spans="14:14" x14ac:dyDescent="0.25">
      <c r="N2030" s="55"/>
    </row>
    <row r="2031" spans="14:14" x14ac:dyDescent="0.25">
      <c r="N2031" s="55"/>
    </row>
    <row r="2032" spans="14:14" x14ac:dyDescent="0.25">
      <c r="N2032" s="55"/>
    </row>
    <row r="2033" spans="14:14" x14ac:dyDescent="0.25">
      <c r="N2033" s="55"/>
    </row>
    <row r="2034" spans="14:14" x14ac:dyDescent="0.25">
      <c r="N2034" s="55"/>
    </row>
    <row r="2035" spans="14:14" x14ac:dyDescent="0.25">
      <c r="N2035" s="55"/>
    </row>
    <row r="2036" spans="14:14" x14ac:dyDescent="0.25">
      <c r="N2036" s="55"/>
    </row>
    <row r="2037" spans="14:14" x14ac:dyDescent="0.25">
      <c r="N2037" s="55"/>
    </row>
    <row r="2038" spans="14:14" x14ac:dyDescent="0.25">
      <c r="N2038" s="55"/>
    </row>
    <row r="2039" spans="14:14" x14ac:dyDescent="0.25">
      <c r="N2039" s="55"/>
    </row>
    <row r="2040" spans="14:14" x14ac:dyDescent="0.25">
      <c r="N2040" s="55"/>
    </row>
    <row r="2041" spans="14:14" x14ac:dyDescent="0.25">
      <c r="N2041" s="55"/>
    </row>
    <row r="2042" spans="14:14" x14ac:dyDescent="0.25">
      <c r="N2042" s="55"/>
    </row>
    <row r="2043" spans="14:14" x14ac:dyDescent="0.25">
      <c r="N2043" s="55"/>
    </row>
    <row r="2044" spans="14:14" x14ac:dyDescent="0.25">
      <c r="N2044" s="55"/>
    </row>
    <row r="2045" spans="14:14" x14ac:dyDescent="0.25">
      <c r="N2045" s="55"/>
    </row>
    <row r="2046" spans="14:14" x14ac:dyDescent="0.25">
      <c r="N2046" s="55"/>
    </row>
    <row r="2047" spans="14:14" x14ac:dyDescent="0.25">
      <c r="N2047" s="55"/>
    </row>
    <row r="2048" spans="14:14" x14ac:dyDescent="0.25">
      <c r="N2048" s="55"/>
    </row>
    <row r="2049" spans="14:14" x14ac:dyDescent="0.25">
      <c r="N2049" s="55"/>
    </row>
    <row r="2050" spans="14:14" x14ac:dyDescent="0.25">
      <c r="N2050" s="55"/>
    </row>
    <row r="2051" spans="14:14" x14ac:dyDescent="0.25">
      <c r="N2051" s="55"/>
    </row>
    <row r="2052" spans="14:14" x14ac:dyDescent="0.25">
      <c r="N2052" s="55"/>
    </row>
    <row r="2053" spans="14:14" x14ac:dyDescent="0.25">
      <c r="N2053" s="55"/>
    </row>
    <row r="2054" spans="14:14" x14ac:dyDescent="0.25">
      <c r="N2054" s="55"/>
    </row>
    <row r="2055" spans="14:14" x14ac:dyDescent="0.25">
      <c r="N2055" s="55"/>
    </row>
    <row r="2056" spans="14:14" x14ac:dyDescent="0.25">
      <c r="N2056" s="55"/>
    </row>
    <row r="2057" spans="14:14" x14ac:dyDescent="0.25">
      <c r="N2057" s="55"/>
    </row>
    <row r="2058" spans="14:14" x14ac:dyDescent="0.25">
      <c r="N2058" s="55"/>
    </row>
    <row r="2059" spans="14:14" x14ac:dyDescent="0.25">
      <c r="N2059" s="55"/>
    </row>
    <row r="2060" spans="14:14" x14ac:dyDescent="0.25">
      <c r="N2060" s="55"/>
    </row>
    <row r="2061" spans="14:14" x14ac:dyDescent="0.25">
      <c r="N2061" s="55"/>
    </row>
    <row r="2062" spans="14:14" x14ac:dyDescent="0.25">
      <c r="N2062" s="55"/>
    </row>
    <row r="2063" spans="14:14" x14ac:dyDescent="0.25">
      <c r="N2063" s="55"/>
    </row>
    <row r="2064" spans="14:14" x14ac:dyDescent="0.25">
      <c r="N2064" s="55"/>
    </row>
    <row r="2065" spans="14:14" x14ac:dyDescent="0.25">
      <c r="N2065" s="55"/>
    </row>
    <row r="2066" spans="14:14" x14ac:dyDescent="0.25">
      <c r="N2066" s="55"/>
    </row>
    <row r="2067" spans="14:14" x14ac:dyDescent="0.25">
      <c r="N2067" s="55"/>
    </row>
    <row r="2068" spans="14:14" x14ac:dyDescent="0.25">
      <c r="N2068" s="55"/>
    </row>
    <row r="2069" spans="14:14" x14ac:dyDescent="0.25">
      <c r="N2069" s="55"/>
    </row>
    <row r="2070" spans="14:14" x14ac:dyDescent="0.25">
      <c r="N2070" s="55"/>
    </row>
    <row r="2071" spans="14:14" x14ac:dyDescent="0.25">
      <c r="N2071" s="55"/>
    </row>
    <row r="2072" spans="14:14" x14ac:dyDescent="0.25">
      <c r="N2072" s="55"/>
    </row>
    <row r="2073" spans="14:14" x14ac:dyDescent="0.25">
      <c r="N2073" s="55"/>
    </row>
    <row r="2074" spans="14:14" x14ac:dyDescent="0.25">
      <c r="N2074" s="55"/>
    </row>
    <row r="2075" spans="14:14" x14ac:dyDescent="0.25">
      <c r="N2075" s="55"/>
    </row>
    <row r="2076" spans="14:14" x14ac:dyDescent="0.25">
      <c r="N2076" s="55"/>
    </row>
    <row r="2077" spans="14:14" x14ac:dyDescent="0.25">
      <c r="N2077" s="55"/>
    </row>
    <row r="2078" spans="14:14" x14ac:dyDescent="0.25">
      <c r="N2078" s="55"/>
    </row>
    <row r="2079" spans="14:14" x14ac:dyDescent="0.25">
      <c r="N2079" s="55"/>
    </row>
    <row r="2080" spans="14:14" x14ac:dyDescent="0.25">
      <c r="N2080" s="55"/>
    </row>
    <row r="2081" spans="14:14" x14ac:dyDescent="0.25">
      <c r="N2081" s="55"/>
    </row>
    <row r="2082" spans="14:14" x14ac:dyDescent="0.25">
      <c r="N2082" s="55"/>
    </row>
    <row r="2083" spans="14:14" x14ac:dyDescent="0.25">
      <c r="N2083" s="55"/>
    </row>
    <row r="2084" spans="14:14" x14ac:dyDescent="0.25">
      <c r="N2084" s="55"/>
    </row>
    <row r="2085" spans="14:14" x14ac:dyDescent="0.25">
      <c r="N2085" s="55"/>
    </row>
    <row r="2086" spans="14:14" x14ac:dyDescent="0.25">
      <c r="N2086" s="55"/>
    </row>
    <row r="2087" spans="14:14" x14ac:dyDescent="0.25">
      <c r="N2087" s="55"/>
    </row>
    <row r="2088" spans="14:14" x14ac:dyDescent="0.25">
      <c r="N2088" s="55"/>
    </row>
    <row r="2089" spans="14:14" x14ac:dyDescent="0.25">
      <c r="N2089" s="55"/>
    </row>
    <row r="2090" spans="14:14" x14ac:dyDescent="0.25">
      <c r="N2090" s="55"/>
    </row>
    <row r="2091" spans="14:14" x14ac:dyDescent="0.25">
      <c r="N2091" s="55"/>
    </row>
    <row r="2092" spans="14:14" x14ac:dyDescent="0.25">
      <c r="N2092" s="55"/>
    </row>
    <row r="2093" spans="14:14" x14ac:dyDescent="0.25">
      <c r="N2093" s="55"/>
    </row>
    <row r="2094" spans="14:14" x14ac:dyDescent="0.25">
      <c r="N2094" s="55"/>
    </row>
    <row r="2095" spans="14:14" x14ac:dyDescent="0.25">
      <c r="N2095" s="55"/>
    </row>
    <row r="2096" spans="14:14" x14ac:dyDescent="0.25">
      <c r="N2096" s="55"/>
    </row>
    <row r="2097" spans="14:14" x14ac:dyDescent="0.25">
      <c r="N2097" s="55"/>
    </row>
    <row r="2098" spans="14:14" x14ac:dyDescent="0.25">
      <c r="N2098" s="55"/>
    </row>
    <row r="2099" spans="14:14" x14ac:dyDescent="0.25">
      <c r="N2099" s="55"/>
    </row>
    <row r="2100" spans="14:14" x14ac:dyDescent="0.25">
      <c r="N2100" s="55"/>
    </row>
    <row r="2101" spans="14:14" x14ac:dyDescent="0.25">
      <c r="N2101" s="55"/>
    </row>
    <row r="2102" spans="14:14" x14ac:dyDescent="0.25">
      <c r="N2102" s="55"/>
    </row>
    <row r="2103" spans="14:14" x14ac:dyDescent="0.25">
      <c r="N2103" s="55"/>
    </row>
    <row r="2104" spans="14:14" x14ac:dyDescent="0.25">
      <c r="N2104" s="55"/>
    </row>
    <row r="2105" spans="14:14" x14ac:dyDescent="0.25">
      <c r="N2105" s="55"/>
    </row>
    <row r="2106" spans="14:14" x14ac:dyDescent="0.25">
      <c r="N2106" s="55"/>
    </row>
    <row r="2107" spans="14:14" x14ac:dyDescent="0.25">
      <c r="N2107" s="55"/>
    </row>
    <row r="2108" spans="14:14" x14ac:dyDescent="0.25">
      <c r="N2108" s="55"/>
    </row>
    <row r="2109" spans="14:14" x14ac:dyDescent="0.25">
      <c r="N2109" s="55"/>
    </row>
    <row r="2110" spans="14:14" x14ac:dyDescent="0.25">
      <c r="N2110" s="55"/>
    </row>
    <row r="2111" spans="14:14" x14ac:dyDescent="0.25">
      <c r="N2111" s="55"/>
    </row>
    <row r="2112" spans="14:14" x14ac:dyDescent="0.25">
      <c r="N2112" s="55"/>
    </row>
    <row r="2113" spans="14:14" x14ac:dyDescent="0.25">
      <c r="N2113" s="55"/>
    </row>
    <row r="2114" spans="14:14" x14ac:dyDescent="0.25">
      <c r="N2114" s="55"/>
    </row>
    <row r="2115" spans="14:14" x14ac:dyDescent="0.25">
      <c r="N2115" s="55"/>
    </row>
    <row r="2116" spans="14:14" x14ac:dyDescent="0.25">
      <c r="N2116" s="55"/>
    </row>
    <row r="2117" spans="14:14" x14ac:dyDescent="0.25">
      <c r="N2117" s="55"/>
    </row>
    <row r="2118" spans="14:14" x14ac:dyDescent="0.25">
      <c r="N2118" s="55"/>
    </row>
    <row r="2119" spans="14:14" x14ac:dyDescent="0.25">
      <c r="N2119" s="55"/>
    </row>
    <row r="2120" spans="14:14" x14ac:dyDescent="0.25">
      <c r="N2120" s="55"/>
    </row>
    <row r="2121" spans="14:14" x14ac:dyDescent="0.25">
      <c r="N2121" s="55"/>
    </row>
    <row r="2122" spans="14:14" x14ac:dyDescent="0.25">
      <c r="N2122" s="55"/>
    </row>
    <row r="2123" spans="14:14" x14ac:dyDescent="0.25">
      <c r="N2123" s="55"/>
    </row>
    <row r="2124" spans="14:14" x14ac:dyDescent="0.25">
      <c r="N2124" s="55"/>
    </row>
    <row r="2125" spans="14:14" x14ac:dyDescent="0.25">
      <c r="N2125" s="55"/>
    </row>
    <row r="2126" spans="14:14" x14ac:dyDescent="0.25">
      <c r="N2126" s="55"/>
    </row>
    <row r="2127" spans="14:14" x14ac:dyDescent="0.25">
      <c r="N2127" s="55"/>
    </row>
    <row r="2128" spans="14:14" x14ac:dyDescent="0.25">
      <c r="N2128" s="55"/>
    </row>
    <row r="2129" spans="14:14" x14ac:dyDescent="0.25">
      <c r="N2129" s="55"/>
    </row>
    <row r="2130" spans="14:14" x14ac:dyDescent="0.25">
      <c r="N2130" s="55"/>
    </row>
    <row r="2131" spans="14:14" x14ac:dyDescent="0.25">
      <c r="N2131" s="55"/>
    </row>
    <row r="2132" spans="14:14" x14ac:dyDescent="0.25">
      <c r="N2132" s="55"/>
    </row>
    <row r="2133" spans="14:14" x14ac:dyDescent="0.25">
      <c r="N2133" s="55"/>
    </row>
    <row r="2134" spans="14:14" x14ac:dyDescent="0.25">
      <c r="N2134" s="55"/>
    </row>
    <row r="2135" spans="14:14" x14ac:dyDescent="0.25">
      <c r="N2135" s="55"/>
    </row>
    <row r="2136" spans="14:14" x14ac:dyDescent="0.25">
      <c r="N2136" s="55"/>
    </row>
    <row r="2137" spans="14:14" x14ac:dyDescent="0.25">
      <c r="N2137" s="55"/>
    </row>
    <row r="2138" spans="14:14" x14ac:dyDescent="0.25">
      <c r="N2138" s="55"/>
    </row>
    <row r="2139" spans="14:14" x14ac:dyDescent="0.25">
      <c r="N2139" s="55"/>
    </row>
    <row r="2140" spans="14:14" x14ac:dyDescent="0.25">
      <c r="N2140" s="55"/>
    </row>
    <row r="2141" spans="14:14" x14ac:dyDescent="0.25">
      <c r="N2141" s="55"/>
    </row>
    <row r="2142" spans="14:14" x14ac:dyDescent="0.25">
      <c r="N2142" s="55"/>
    </row>
    <row r="2143" spans="14:14" x14ac:dyDescent="0.25">
      <c r="N2143" s="55"/>
    </row>
    <row r="2144" spans="14:14" x14ac:dyDescent="0.25">
      <c r="N2144" s="55"/>
    </row>
    <row r="2145" spans="14:14" x14ac:dyDescent="0.25">
      <c r="N2145" s="55"/>
    </row>
    <row r="2146" spans="14:14" x14ac:dyDescent="0.25">
      <c r="N2146" s="55"/>
    </row>
    <row r="2147" spans="14:14" x14ac:dyDescent="0.25">
      <c r="N2147" s="55"/>
    </row>
    <row r="2148" spans="14:14" x14ac:dyDescent="0.25">
      <c r="N2148" s="55"/>
    </row>
    <row r="2149" spans="14:14" x14ac:dyDescent="0.25">
      <c r="N2149" s="55"/>
    </row>
    <row r="2150" spans="14:14" x14ac:dyDescent="0.25">
      <c r="N2150" s="55"/>
    </row>
    <row r="2151" spans="14:14" x14ac:dyDescent="0.25">
      <c r="N2151" s="55"/>
    </row>
    <row r="2152" spans="14:14" x14ac:dyDescent="0.25">
      <c r="N2152" s="55"/>
    </row>
    <row r="2153" spans="14:14" x14ac:dyDescent="0.25">
      <c r="N2153" s="55"/>
    </row>
    <row r="2154" spans="14:14" x14ac:dyDescent="0.25">
      <c r="N2154" s="55"/>
    </row>
    <row r="2155" spans="14:14" x14ac:dyDescent="0.25">
      <c r="N2155" s="55"/>
    </row>
    <row r="2156" spans="14:14" x14ac:dyDescent="0.25">
      <c r="N2156" s="55"/>
    </row>
    <row r="2157" spans="14:14" x14ac:dyDescent="0.25">
      <c r="N2157" s="55"/>
    </row>
    <row r="2158" spans="14:14" x14ac:dyDescent="0.25">
      <c r="N2158" s="55"/>
    </row>
    <row r="2159" spans="14:14" x14ac:dyDescent="0.25">
      <c r="N2159" s="55"/>
    </row>
    <row r="2160" spans="14:14" x14ac:dyDescent="0.25">
      <c r="N2160" s="55"/>
    </row>
    <row r="2161" spans="14:14" x14ac:dyDescent="0.25">
      <c r="N2161" s="55"/>
    </row>
    <row r="2162" spans="14:14" x14ac:dyDescent="0.25">
      <c r="N2162" s="55"/>
    </row>
    <row r="2163" spans="14:14" x14ac:dyDescent="0.25">
      <c r="N2163" s="55"/>
    </row>
    <row r="2164" spans="14:14" x14ac:dyDescent="0.25">
      <c r="N2164" s="55"/>
    </row>
    <row r="2165" spans="14:14" x14ac:dyDescent="0.25">
      <c r="N2165" s="55"/>
    </row>
    <row r="2166" spans="14:14" x14ac:dyDescent="0.25">
      <c r="N2166" s="55"/>
    </row>
    <row r="2167" spans="14:14" x14ac:dyDescent="0.25">
      <c r="N2167" s="55"/>
    </row>
    <row r="2168" spans="14:14" x14ac:dyDescent="0.25">
      <c r="N2168" s="55"/>
    </row>
    <row r="2169" spans="14:14" x14ac:dyDescent="0.25">
      <c r="N2169" s="55"/>
    </row>
    <row r="2170" spans="14:14" x14ac:dyDescent="0.25">
      <c r="N2170" s="55"/>
    </row>
    <row r="2171" spans="14:14" x14ac:dyDescent="0.25">
      <c r="N2171" s="55"/>
    </row>
    <row r="2172" spans="14:14" x14ac:dyDescent="0.25">
      <c r="N2172" s="55"/>
    </row>
    <row r="2173" spans="14:14" x14ac:dyDescent="0.25">
      <c r="N2173" s="55"/>
    </row>
    <row r="2174" spans="14:14" x14ac:dyDescent="0.25">
      <c r="N2174" s="55"/>
    </row>
    <row r="2175" spans="14:14" x14ac:dyDescent="0.25">
      <c r="N2175" s="55"/>
    </row>
    <row r="2176" spans="14:14" x14ac:dyDescent="0.25">
      <c r="N2176" s="55"/>
    </row>
    <row r="2177" spans="14:14" x14ac:dyDescent="0.25">
      <c r="N2177" s="55"/>
    </row>
    <row r="2178" spans="14:14" x14ac:dyDescent="0.25">
      <c r="N2178" s="55"/>
    </row>
    <row r="2179" spans="14:14" x14ac:dyDescent="0.25">
      <c r="N2179" s="55"/>
    </row>
    <row r="2180" spans="14:14" x14ac:dyDescent="0.25">
      <c r="N2180" s="55"/>
    </row>
    <row r="2181" spans="14:14" x14ac:dyDescent="0.25">
      <c r="N2181" s="55"/>
    </row>
    <row r="2182" spans="14:14" x14ac:dyDescent="0.25">
      <c r="N2182" s="55"/>
    </row>
    <row r="2183" spans="14:14" x14ac:dyDescent="0.25">
      <c r="N2183" s="55"/>
    </row>
    <row r="2184" spans="14:14" x14ac:dyDescent="0.25">
      <c r="N2184" s="55"/>
    </row>
    <row r="2185" spans="14:14" x14ac:dyDescent="0.25">
      <c r="N2185" s="55"/>
    </row>
    <row r="2186" spans="14:14" x14ac:dyDescent="0.25">
      <c r="N2186" s="55"/>
    </row>
    <row r="2187" spans="14:14" x14ac:dyDescent="0.25">
      <c r="N2187" s="55"/>
    </row>
    <row r="2188" spans="14:14" x14ac:dyDescent="0.25">
      <c r="N2188" s="55"/>
    </row>
    <row r="2189" spans="14:14" x14ac:dyDescent="0.25">
      <c r="N2189" s="55"/>
    </row>
    <row r="2190" spans="14:14" x14ac:dyDescent="0.25">
      <c r="N2190" s="55"/>
    </row>
    <row r="2191" spans="14:14" x14ac:dyDescent="0.25">
      <c r="N2191" s="55"/>
    </row>
    <row r="2192" spans="14:14" x14ac:dyDescent="0.25">
      <c r="N2192" s="55"/>
    </row>
    <row r="2193" spans="14:14" x14ac:dyDescent="0.25">
      <c r="N2193" s="55"/>
    </row>
    <row r="2194" spans="14:14" x14ac:dyDescent="0.25">
      <c r="N2194" s="55"/>
    </row>
    <row r="2195" spans="14:14" x14ac:dyDescent="0.25">
      <c r="N2195" s="55"/>
    </row>
    <row r="2196" spans="14:14" x14ac:dyDescent="0.25">
      <c r="N2196" s="55"/>
    </row>
    <row r="2197" spans="14:14" x14ac:dyDescent="0.25">
      <c r="N2197" s="55"/>
    </row>
    <row r="2198" spans="14:14" x14ac:dyDescent="0.25">
      <c r="N2198" s="55"/>
    </row>
    <row r="2199" spans="14:14" x14ac:dyDescent="0.25">
      <c r="N2199" s="55"/>
    </row>
    <row r="2200" spans="14:14" x14ac:dyDescent="0.25">
      <c r="N2200" s="55"/>
    </row>
    <row r="2201" spans="14:14" x14ac:dyDescent="0.25">
      <c r="N2201" s="55"/>
    </row>
    <row r="2202" spans="14:14" x14ac:dyDescent="0.25">
      <c r="N2202" s="55"/>
    </row>
    <row r="2203" spans="14:14" x14ac:dyDescent="0.25">
      <c r="N2203" s="55"/>
    </row>
    <row r="2204" spans="14:14" x14ac:dyDescent="0.25">
      <c r="N2204" s="55"/>
    </row>
    <row r="2205" spans="14:14" x14ac:dyDescent="0.25">
      <c r="N2205" s="55"/>
    </row>
    <row r="2206" spans="14:14" x14ac:dyDescent="0.25">
      <c r="N2206" s="55"/>
    </row>
    <row r="2207" spans="14:14" x14ac:dyDescent="0.25">
      <c r="N2207" s="55"/>
    </row>
    <row r="2208" spans="14:14" x14ac:dyDescent="0.25">
      <c r="N2208" s="55"/>
    </row>
    <row r="2209" spans="14:14" x14ac:dyDescent="0.25">
      <c r="N2209" s="55"/>
    </row>
    <row r="2210" spans="14:14" x14ac:dyDescent="0.25">
      <c r="N2210" s="55"/>
    </row>
    <row r="2211" spans="14:14" x14ac:dyDescent="0.25">
      <c r="N2211" s="55"/>
    </row>
    <row r="2212" spans="14:14" x14ac:dyDescent="0.25">
      <c r="N2212" s="55"/>
    </row>
    <row r="2213" spans="14:14" x14ac:dyDescent="0.25">
      <c r="N2213" s="55"/>
    </row>
    <row r="2214" spans="14:14" x14ac:dyDescent="0.25">
      <c r="N2214" s="55"/>
    </row>
    <row r="2215" spans="14:14" x14ac:dyDescent="0.25">
      <c r="N2215" s="55"/>
    </row>
    <row r="2216" spans="14:14" x14ac:dyDescent="0.25">
      <c r="N2216" s="55"/>
    </row>
    <row r="2217" spans="14:14" x14ac:dyDescent="0.25">
      <c r="N2217" s="55"/>
    </row>
    <row r="2218" spans="14:14" x14ac:dyDescent="0.25">
      <c r="N2218" s="55"/>
    </row>
    <row r="2219" spans="14:14" x14ac:dyDescent="0.25">
      <c r="N2219" s="55"/>
    </row>
    <row r="2220" spans="14:14" x14ac:dyDescent="0.25">
      <c r="N2220" s="55"/>
    </row>
    <row r="2221" spans="14:14" x14ac:dyDescent="0.25">
      <c r="N2221" s="55"/>
    </row>
    <row r="2222" spans="14:14" x14ac:dyDescent="0.25">
      <c r="N2222" s="55"/>
    </row>
    <row r="2223" spans="14:14" x14ac:dyDescent="0.25">
      <c r="N2223" s="55"/>
    </row>
    <row r="2224" spans="14:14" x14ac:dyDescent="0.25">
      <c r="N2224" s="55"/>
    </row>
    <row r="2225" spans="14:14" x14ac:dyDescent="0.25">
      <c r="N2225" s="55"/>
    </row>
    <row r="2226" spans="14:14" x14ac:dyDescent="0.25">
      <c r="N2226" s="55"/>
    </row>
    <row r="2227" spans="14:14" x14ac:dyDescent="0.25">
      <c r="N2227" s="55"/>
    </row>
    <row r="2228" spans="14:14" x14ac:dyDescent="0.25">
      <c r="N2228" s="55"/>
    </row>
    <row r="2229" spans="14:14" x14ac:dyDescent="0.25">
      <c r="N2229" s="55"/>
    </row>
    <row r="2230" spans="14:14" x14ac:dyDescent="0.25">
      <c r="N2230" s="55"/>
    </row>
    <row r="2231" spans="14:14" x14ac:dyDescent="0.25">
      <c r="N2231" s="55"/>
    </row>
    <row r="2232" spans="14:14" x14ac:dyDescent="0.25">
      <c r="N2232" s="55"/>
    </row>
    <row r="2233" spans="14:14" x14ac:dyDescent="0.25">
      <c r="N2233" s="55"/>
    </row>
    <row r="2234" spans="14:14" x14ac:dyDescent="0.25">
      <c r="N2234" s="55"/>
    </row>
    <row r="2235" spans="14:14" x14ac:dyDescent="0.25">
      <c r="N2235" s="55"/>
    </row>
    <row r="2236" spans="14:14" x14ac:dyDescent="0.25">
      <c r="N2236" s="55"/>
    </row>
    <row r="2237" spans="14:14" x14ac:dyDescent="0.25">
      <c r="N2237" s="55"/>
    </row>
    <row r="2238" spans="14:14" x14ac:dyDescent="0.25">
      <c r="N2238" s="55"/>
    </row>
    <row r="2239" spans="14:14" x14ac:dyDescent="0.25">
      <c r="N2239" s="55"/>
    </row>
    <row r="2240" spans="14:14" x14ac:dyDescent="0.25">
      <c r="N2240" s="55"/>
    </row>
    <row r="2241" spans="14:14" x14ac:dyDescent="0.25">
      <c r="N2241" s="55"/>
    </row>
    <row r="2242" spans="14:14" x14ac:dyDescent="0.25">
      <c r="N2242" s="55"/>
    </row>
    <row r="2243" spans="14:14" x14ac:dyDescent="0.25">
      <c r="N2243" s="55"/>
    </row>
    <row r="2244" spans="14:14" x14ac:dyDescent="0.25">
      <c r="N2244" s="55"/>
    </row>
    <row r="2245" spans="14:14" x14ac:dyDescent="0.25">
      <c r="N2245" s="55"/>
    </row>
    <row r="2246" spans="14:14" x14ac:dyDescent="0.25">
      <c r="N2246" s="55"/>
    </row>
    <row r="2247" spans="14:14" x14ac:dyDescent="0.25">
      <c r="N2247" s="55"/>
    </row>
    <row r="2248" spans="14:14" x14ac:dyDescent="0.25">
      <c r="N2248" s="55"/>
    </row>
    <row r="2249" spans="14:14" x14ac:dyDescent="0.25">
      <c r="N2249" s="55"/>
    </row>
    <row r="2250" spans="14:14" x14ac:dyDescent="0.25">
      <c r="N2250" s="55"/>
    </row>
    <row r="2251" spans="14:14" x14ac:dyDescent="0.25">
      <c r="N2251" s="55"/>
    </row>
    <row r="2252" spans="14:14" x14ac:dyDescent="0.25">
      <c r="N2252" s="55"/>
    </row>
    <row r="2253" spans="14:14" x14ac:dyDescent="0.25">
      <c r="N2253" s="55"/>
    </row>
    <row r="2254" spans="14:14" x14ac:dyDescent="0.25">
      <c r="N2254" s="55"/>
    </row>
    <row r="2255" spans="14:14" x14ac:dyDescent="0.25">
      <c r="N2255" s="55"/>
    </row>
    <row r="2256" spans="14:14" x14ac:dyDescent="0.25">
      <c r="N2256" s="55"/>
    </row>
    <row r="2257" spans="14:14" x14ac:dyDescent="0.25">
      <c r="N2257" s="55"/>
    </row>
    <row r="2258" spans="14:14" x14ac:dyDescent="0.25">
      <c r="N2258" s="55"/>
    </row>
    <row r="2259" spans="14:14" x14ac:dyDescent="0.25">
      <c r="N2259" s="55"/>
    </row>
    <row r="2260" spans="14:14" x14ac:dyDescent="0.25">
      <c r="N2260" s="55"/>
    </row>
    <row r="2261" spans="14:14" x14ac:dyDescent="0.25">
      <c r="N2261" s="55"/>
    </row>
    <row r="2262" spans="14:14" x14ac:dyDescent="0.25">
      <c r="N2262" s="55"/>
    </row>
    <row r="2263" spans="14:14" x14ac:dyDescent="0.25">
      <c r="N2263" s="55"/>
    </row>
    <row r="2264" spans="14:14" x14ac:dyDescent="0.25">
      <c r="N2264" s="55"/>
    </row>
    <row r="2265" spans="14:14" x14ac:dyDescent="0.25">
      <c r="N2265" s="55"/>
    </row>
    <row r="2266" spans="14:14" x14ac:dyDescent="0.25">
      <c r="N2266" s="55"/>
    </row>
    <row r="2267" spans="14:14" x14ac:dyDescent="0.25">
      <c r="N2267" s="55"/>
    </row>
    <row r="2268" spans="14:14" x14ac:dyDescent="0.25">
      <c r="N2268" s="55"/>
    </row>
    <row r="2269" spans="14:14" x14ac:dyDescent="0.25">
      <c r="N2269" s="55"/>
    </row>
    <row r="2270" spans="14:14" x14ac:dyDescent="0.25">
      <c r="N2270" s="55"/>
    </row>
    <row r="2271" spans="14:14" x14ac:dyDescent="0.25">
      <c r="N2271" s="55"/>
    </row>
    <row r="2272" spans="14:14" x14ac:dyDescent="0.25">
      <c r="N2272" s="55"/>
    </row>
    <row r="2273" spans="14:14" x14ac:dyDescent="0.25">
      <c r="N2273" s="55"/>
    </row>
    <row r="2274" spans="14:14" x14ac:dyDescent="0.25">
      <c r="N2274" s="55"/>
    </row>
    <row r="2275" spans="14:14" x14ac:dyDescent="0.25">
      <c r="N2275" s="55"/>
    </row>
    <row r="2276" spans="14:14" x14ac:dyDescent="0.25">
      <c r="N2276" s="55"/>
    </row>
    <row r="2277" spans="14:14" x14ac:dyDescent="0.25">
      <c r="N2277" s="55"/>
    </row>
    <row r="2278" spans="14:14" x14ac:dyDescent="0.25">
      <c r="N2278" s="55"/>
    </row>
    <row r="2279" spans="14:14" x14ac:dyDescent="0.25">
      <c r="N2279" s="55"/>
    </row>
    <row r="2280" spans="14:14" x14ac:dyDescent="0.25">
      <c r="N2280" s="55"/>
    </row>
    <row r="2281" spans="14:14" x14ac:dyDescent="0.25">
      <c r="N2281" s="55"/>
    </row>
    <row r="2282" spans="14:14" x14ac:dyDescent="0.25">
      <c r="N2282" s="55"/>
    </row>
    <row r="2283" spans="14:14" x14ac:dyDescent="0.25">
      <c r="N2283" s="55"/>
    </row>
    <row r="2284" spans="14:14" x14ac:dyDescent="0.25">
      <c r="N2284" s="55"/>
    </row>
    <row r="2285" spans="14:14" x14ac:dyDescent="0.25">
      <c r="N2285" s="55"/>
    </row>
    <row r="2286" spans="14:14" x14ac:dyDescent="0.25">
      <c r="N2286" s="55"/>
    </row>
    <row r="2287" spans="14:14" x14ac:dyDescent="0.25">
      <c r="N2287" s="55"/>
    </row>
    <row r="2288" spans="14:14" x14ac:dyDescent="0.25">
      <c r="N2288" s="55"/>
    </row>
    <row r="2289" spans="14:14" x14ac:dyDescent="0.25">
      <c r="N2289" s="55"/>
    </row>
    <row r="2290" spans="14:14" x14ac:dyDescent="0.25">
      <c r="N2290" s="55"/>
    </row>
    <row r="2291" spans="14:14" x14ac:dyDescent="0.25">
      <c r="N2291" s="55"/>
    </row>
    <row r="2292" spans="14:14" x14ac:dyDescent="0.25">
      <c r="N2292" s="55"/>
    </row>
    <row r="2293" spans="14:14" x14ac:dyDescent="0.25">
      <c r="N2293" s="55"/>
    </row>
    <row r="2294" spans="14:14" x14ac:dyDescent="0.25">
      <c r="N2294" s="55"/>
    </row>
    <row r="2295" spans="14:14" x14ac:dyDescent="0.25">
      <c r="N2295" s="55"/>
    </row>
    <row r="2296" spans="14:14" x14ac:dyDescent="0.25">
      <c r="N2296" s="55"/>
    </row>
    <row r="2297" spans="14:14" x14ac:dyDescent="0.25">
      <c r="N2297" s="55"/>
    </row>
    <row r="2298" spans="14:14" x14ac:dyDescent="0.25">
      <c r="N2298" s="55"/>
    </row>
    <row r="2299" spans="14:14" x14ac:dyDescent="0.25">
      <c r="N2299" s="55"/>
    </row>
    <row r="2300" spans="14:14" x14ac:dyDescent="0.25">
      <c r="N2300" s="55"/>
    </row>
    <row r="2301" spans="14:14" x14ac:dyDescent="0.25">
      <c r="N2301" s="55"/>
    </row>
    <row r="2302" spans="14:14" x14ac:dyDescent="0.25">
      <c r="N2302" s="55"/>
    </row>
    <row r="2303" spans="14:14" x14ac:dyDescent="0.25">
      <c r="N2303" s="55"/>
    </row>
    <row r="2304" spans="14:14" x14ac:dyDescent="0.25">
      <c r="N2304" s="55"/>
    </row>
    <row r="2305" spans="14:14" x14ac:dyDescent="0.25">
      <c r="N2305" s="55"/>
    </row>
    <row r="2306" spans="14:14" x14ac:dyDescent="0.25">
      <c r="N2306" s="55"/>
    </row>
    <row r="2307" spans="14:14" x14ac:dyDescent="0.25">
      <c r="N2307" s="55"/>
    </row>
    <row r="2308" spans="14:14" x14ac:dyDescent="0.25">
      <c r="N2308" s="55"/>
    </row>
    <row r="2309" spans="14:14" x14ac:dyDescent="0.25">
      <c r="N2309" s="55"/>
    </row>
    <row r="2310" spans="14:14" x14ac:dyDescent="0.25">
      <c r="N2310" s="55"/>
    </row>
    <row r="2311" spans="14:14" x14ac:dyDescent="0.25">
      <c r="N2311" s="55"/>
    </row>
    <row r="2312" spans="14:14" x14ac:dyDescent="0.25">
      <c r="N2312" s="55"/>
    </row>
    <row r="2313" spans="14:14" x14ac:dyDescent="0.25">
      <c r="N2313" s="55"/>
    </row>
    <row r="2314" spans="14:14" x14ac:dyDescent="0.25">
      <c r="N2314" s="55"/>
    </row>
    <row r="2315" spans="14:14" x14ac:dyDescent="0.25">
      <c r="N2315" s="55"/>
    </row>
    <row r="2316" spans="14:14" x14ac:dyDescent="0.25">
      <c r="N2316" s="55"/>
    </row>
    <row r="2317" spans="14:14" x14ac:dyDescent="0.25">
      <c r="N2317" s="55"/>
    </row>
    <row r="2318" spans="14:14" x14ac:dyDescent="0.25">
      <c r="N2318" s="55"/>
    </row>
    <row r="2319" spans="14:14" x14ac:dyDescent="0.25">
      <c r="N2319" s="55"/>
    </row>
    <row r="2320" spans="14:14" x14ac:dyDescent="0.25">
      <c r="N2320" s="55"/>
    </row>
    <row r="2321" spans="14:14" x14ac:dyDescent="0.25">
      <c r="N2321" s="55"/>
    </row>
    <row r="2322" spans="14:14" x14ac:dyDescent="0.25">
      <c r="N2322" s="55"/>
    </row>
    <row r="2323" spans="14:14" x14ac:dyDescent="0.25">
      <c r="N2323" s="55"/>
    </row>
    <row r="2324" spans="14:14" x14ac:dyDescent="0.25">
      <c r="N2324" s="55"/>
    </row>
    <row r="2325" spans="14:14" x14ac:dyDescent="0.25">
      <c r="N2325" s="55"/>
    </row>
    <row r="2326" spans="14:14" x14ac:dyDescent="0.25">
      <c r="N2326" s="55"/>
    </row>
    <row r="2327" spans="14:14" x14ac:dyDescent="0.25">
      <c r="N2327" s="55"/>
    </row>
    <row r="2328" spans="14:14" x14ac:dyDescent="0.25">
      <c r="N2328" s="55"/>
    </row>
    <row r="2329" spans="14:14" x14ac:dyDescent="0.25">
      <c r="N2329" s="55"/>
    </row>
    <row r="2330" spans="14:14" x14ac:dyDescent="0.25">
      <c r="N2330" s="55"/>
    </row>
    <row r="2331" spans="14:14" x14ac:dyDescent="0.25">
      <c r="N2331" s="55"/>
    </row>
    <row r="2332" spans="14:14" x14ac:dyDescent="0.25">
      <c r="N2332" s="55"/>
    </row>
    <row r="2333" spans="14:14" x14ac:dyDescent="0.25">
      <c r="N2333" s="55"/>
    </row>
    <row r="2334" spans="14:14" x14ac:dyDescent="0.25">
      <c r="N2334" s="55"/>
    </row>
    <row r="2335" spans="14:14" x14ac:dyDescent="0.25">
      <c r="N2335" s="55"/>
    </row>
    <row r="2336" spans="14:14" x14ac:dyDescent="0.25">
      <c r="N2336" s="55"/>
    </row>
    <row r="2337" spans="14:14" x14ac:dyDescent="0.25">
      <c r="N2337" s="55"/>
    </row>
    <row r="2338" spans="14:14" x14ac:dyDescent="0.25">
      <c r="N2338" s="55"/>
    </row>
    <row r="2339" spans="14:14" x14ac:dyDescent="0.25">
      <c r="N2339" s="55"/>
    </row>
    <row r="2340" spans="14:14" x14ac:dyDescent="0.25">
      <c r="N2340" s="55"/>
    </row>
    <row r="2341" spans="14:14" x14ac:dyDescent="0.25">
      <c r="N2341" s="55"/>
    </row>
    <row r="2342" spans="14:14" x14ac:dyDescent="0.25">
      <c r="N2342" s="55"/>
    </row>
    <row r="2343" spans="14:14" x14ac:dyDescent="0.25">
      <c r="N2343" s="55"/>
    </row>
    <row r="2344" spans="14:14" x14ac:dyDescent="0.25">
      <c r="N2344" s="55"/>
    </row>
  </sheetData>
  <mergeCells count="2">
    <mergeCell ref="G3:G4"/>
    <mergeCell ref="G5:G15"/>
  </mergeCells>
  <hyperlinks>
    <hyperlink ref="S1" location="'Table of Content'!A1" display="Table of Content" xr:uid="{2E75701A-2E4A-43E9-940C-2C09DD2FFFCE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D6C0-97B5-4747-B568-B8DCDC08FF9C}">
  <dimension ref="A1:W294"/>
  <sheetViews>
    <sheetView zoomScaleNormal="100" workbookViewId="0">
      <selection activeCell="A49" sqref="A49"/>
    </sheetView>
  </sheetViews>
  <sheetFormatPr defaultColWidth="8.81640625" defaultRowHeight="12.5" x14ac:dyDescent="0.25"/>
  <cols>
    <col min="1" max="1" width="32.54296875" style="20" customWidth="1"/>
    <col min="2" max="2" width="13.54296875" style="20" bestFit="1" customWidth="1"/>
    <col min="3" max="3" width="11.54296875" style="20" customWidth="1"/>
    <col min="4" max="4" width="15.90625" style="20" customWidth="1"/>
    <col min="5" max="5" width="11.7265625" style="20" customWidth="1"/>
    <col min="6" max="6" width="11.54296875" style="20" customWidth="1"/>
    <col min="7" max="7" width="13.1796875" style="20" customWidth="1"/>
    <col min="8" max="8" width="14" style="20" bestFit="1" customWidth="1"/>
    <col min="9" max="9" width="13.81640625" style="20" bestFit="1" customWidth="1"/>
    <col min="10" max="10" width="11" style="20" bestFit="1" customWidth="1"/>
    <col min="11" max="11" width="11.1796875" style="20" bestFit="1" customWidth="1"/>
    <col min="12" max="14" width="8.81640625" style="20"/>
    <col min="15" max="15" width="20" style="20" customWidth="1"/>
    <col min="16" max="16" width="9.1796875" style="20" bestFit="1" customWidth="1"/>
    <col min="17" max="17" width="14.08984375" style="20" customWidth="1"/>
    <col min="18" max="18" width="9.26953125" style="20" bestFit="1" customWidth="1"/>
    <col min="19" max="19" width="9.1796875" style="20" bestFit="1" customWidth="1"/>
    <col min="20" max="22" width="8.81640625" style="20"/>
    <col min="23" max="23" width="14.81640625" style="18" bestFit="1" customWidth="1"/>
    <col min="24" max="16384" width="8.81640625" style="20"/>
  </cols>
  <sheetData>
    <row r="1" spans="1:18" ht="13" x14ac:dyDescent="0.3">
      <c r="A1" s="586" t="s">
        <v>441</v>
      </c>
      <c r="B1" s="586"/>
      <c r="C1" s="586"/>
      <c r="D1" s="586"/>
      <c r="E1" s="586"/>
      <c r="F1" s="586"/>
      <c r="G1" s="586"/>
      <c r="H1" s="586"/>
      <c r="I1" s="586"/>
      <c r="J1" s="586"/>
      <c r="M1" s="51" t="s">
        <v>239</v>
      </c>
      <c r="R1" s="18"/>
    </row>
    <row r="2" spans="1:18" ht="14.5" customHeight="1" x14ac:dyDescent="0.3">
      <c r="A2" s="539" t="s">
        <v>440</v>
      </c>
      <c r="B2" s="540"/>
      <c r="C2" s="540"/>
      <c r="D2" s="540"/>
      <c r="E2" s="540"/>
      <c r="F2" s="540"/>
      <c r="G2" s="540"/>
      <c r="H2" s="540"/>
      <c r="I2" s="540"/>
      <c r="J2" s="540"/>
      <c r="K2" s="541"/>
      <c r="P2" s="18"/>
      <c r="R2" s="18"/>
    </row>
    <row r="3" spans="1:18" ht="13" x14ac:dyDescent="0.3">
      <c r="A3" s="26" t="s">
        <v>439</v>
      </c>
      <c r="B3" s="26" t="s">
        <v>438</v>
      </c>
      <c r="C3" s="26" t="s">
        <v>437</v>
      </c>
      <c r="D3" s="26" t="s">
        <v>436</v>
      </c>
      <c r="E3" s="26" t="s">
        <v>435</v>
      </c>
      <c r="F3" s="26" t="s">
        <v>434</v>
      </c>
      <c r="G3" s="26" t="s">
        <v>433</v>
      </c>
      <c r="H3" s="134" t="s">
        <v>432</v>
      </c>
      <c r="I3" s="26">
        <v>2023</v>
      </c>
      <c r="J3" s="26">
        <v>2024</v>
      </c>
      <c r="K3" s="26" t="s">
        <v>217</v>
      </c>
      <c r="P3" s="18"/>
      <c r="R3" s="18"/>
    </row>
    <row r="4" spans="1:18" x14ac:dyDescent="0.25">
      <c r="A4" s="133" t="s">
        <v>431</v>
      </c>
      <c r="B4" s="133">
        <v>28050.262249080002</v>
      </c>
      <c r="C4" s="133">
        <v>28134.657778230001</v>
      </c>
      <c r="D4" s="133">
        <v>29466.480815660099</v>
      </c>
      <c r="E4" s="133">
        <v>31300.850783950002</v>
      </c>
      <c r="F4" s="133">
        <v>28244.719952970001</v>
      </c>
      <c r="G4" s="133">
        <v>32311.854120029999</v>
      </c>
      <c r="H4" s="133">
        <v>49501.570341929706</v>
      </c>
      <c r="I4" s="133">
        <v>56665.469219798695</v>
      </c>
      <c r="J4" s="133">
        <v>59011.703213160305</v>
      </c>
      <c r="K4" s="133">
        <f>SUM(B4:J4)</f>
        <v>342687.56847480882</v>
      </c>
      <c r="L4" s="131"/>
      <c r="P4" s="18"/>
      <c r="R4" s="18"/>
    </row>
    <row r="5" spans="1:18" x14ac:dyDescent="0.25">
      <c r="A5" s="132" t="s">
        <v>430</v>
      </c>
      <c r="B5" s="132">
        <v>62980.977332879207</v>
      </c>
      <c r="C5" s="132">
        <v>54940.101983838402</v>
      </c>
      <c r="D5" s="132">
        <v>55131.7759114937</v>
      </c>
      <c r="E5" s="132">
        <v>54166.364969799302</v>
      </c>
      <c r="F5" s="132">
        <v>43758.881737980002</v>
      </c>
      <c r="G5" s="132">
        <v>48095.104822022498</v>
      </c>
      <c r="H5" s="132">
        <v>54141.0987200901</v>
      </c>
      <c r="I5" s="132">
        <v>55909.495601281698</v>
      </c>
      <c r="J5" s="132">
        <v>69070.58140264191</v>
      </c>
      <c r="K5" s="132">
        <f>SUM(B5:J5)</f>
        <v>498194.38248202682</v>
      </c>
      <c r="L5" s="131"/>
      <c r="P5" s="18"/>
      <c r="R5" s="18"/>
    </row>
    <row r="6" spans="1:18" x14ac:dyDescent="0.25">
      <c r="A6" s="127" t="s">
        <v>429</v>
      </c>
      <c r="B6" s="127">
        <f t="shared" ref="B6:J6" si="0">B4-B5</f>
        <v>-34930.715083799209</v>
      </c>
      <c r="C6" s="127">
        <f t="shared" si="0"/>
        <v>-26805.444205608401</v>
      </c>
      <c r="D6" s="127">
        <f t="shared" si="0"/>
        <v>-25665.2950958336</v>
      </c>
      <c r="E6" s="127">
        <f t="shared" si="0"/>
        <v>-22865.514185849301</v>
      </c>
      <c r="F6" s="127">
        <f t="shared" si="0"/>
        <v>-15514.161785010001</v>
      </c>
      <c r="G6" s="127">
        <f t="shared" si="0"/>
        <v>-15783.2507019925</v>
      </c>
      <c r="H6" s="127">
        <f t="shared" si="0"/>
        <v>-4639.5283781603939</v>
      </c>
      <c r="I6" s="127">
        <f t="shared" si="0"/>
        <v>755.97361851699679</v>
      </c>
      <c r="J6" s="127">
        <f t="shared" si="0"/>
        <v>-10058.878189481606</v>
      </c>
      <c r="K6" s="127"/>
      <c r="P6" s="18"/>
      <c r="R6" s="18"/>
    </row>
    <row r="7" spans="1:18" x14ac:dyDescent="0.25">
      <c r="A7" s="18"/>
      <c r="B7" s="18"/>
      <c r="C7" s="18"/>
      <c r="D7" s="18"/>
      <c r="E7" s="18"/>
      <c r="F7" s="18"/>
      <c r="G7" s="18"/>
      <c r="H7" s="18"/>
      <c r="P7" s="18"/>
      <c r="R7" s="18"/>
    </row>
    <row r="8" spans="1:18" x14ac:dyDescent="0.25">
      <c r="P8" s="18"/>
      <c r="R8" s="18"/>
    </row>
    <row r="9" spans="1:18" ht="14.5" customHeight="1" x14ac:dyDescent="0.25">
      <c r="A9" s="545" t="s">
        <v>1005</v>
      </c>
      <c r="B9" s="591"/>
      <c r="C9" s="591"/>
      <c r="D9" s="591"/>
      <c r="E9" s="591"/>
      <c r="F9" s="584"/>
      <c r="P9" s="18"/>
      <c r="R9" s="18"/>
    </row>
    <row r="10" spans="1:18" ht="13" x14ac:dyDescent="0.3">
      <c r="A10" s="26" t="s">
        <v>244</v>
      </c>
      <c r="B10" s="26" t="s">
        <v>290</v>
      </c>
      <c r="C10" s="26" t="s">
        <v>234</v>
      </c>
      <c r="D10" s="26" t="s">
        <v>428</v>
      </c>
      <c r="E10" s="26" t="s">
        <v>289</v>
      </c>
      <c r="F10" s="26" t="s">
        <v>234</v>
      </c>
      <c r="P10" s="18"/>
      <c r="R10" s="18"/>
    </row>
    <row r="11" spans="1:18" x14ac:dyDescent="0.25">
      <c r="A11" s="58" t="s">
        <v>235</v>
      </c>
      <c r="B11" s="47">
        <v>2919.42465601</v>
      </c>
      <c r="C11" s="162">
        <f t="shared" ref="C11:C36" si="1">(B11/$B$48)*100</f>
        <v>54.056570452222061</v>
      </c>
      <c r="D11" s="21" t="s">
        <v>235</v>
      </c>
      <c r="E11" s="18">
        <v>5725.5965248598604</v>
      </c>
      <c r="F11" s="166">
        <f t="shared" ref="F11:F47" si="2">(E11/$E$48)*100</f>
        <v>84.986455656813149</v>
      </c>
      <c r="J11" s="18"/>
      <c r="P11" s="18"/>
      <c r="R11" s="18"/>
    </row>
    <row r="12" spans="1:18" x14ac:dyDescent="0.25">
      <c r="A12" s="21" t="s">
        <v>247</v>
      </c>
      <c r="B12" s="48">
        <v>1039.0293148000001</v>
      </c>
      <c r="C12" s="161">
        <f t="shared" si="1"/>
        <v>19.238845997201796</v>
      </c>
      <c r="D12" s="21" t="s">
        <v>247</v>
      </c>
      <c r="E12" s="18">
        <v>465.31746880999998</v>
      </c>
      <c r="F12" s="166">
        <f t="shared" si="2"/>
        <v>6.9068231157502877</v>
      </c>
      <c r="J12" s="18"/>
      <c r="P12" s="18"/>
      <c r="R12" s="18"/>
    </row>
    <row r="13" spans="1:18" x14ac:dyDescent="0.25">
      <c r="A13" s="21" t="s">
        <v>245</v>
      </c>
      <c r="B13" s="48">
        <v>951.9616563300001</v>
      </c>
      <c r="C13" s="161">
        <f t="shared" si="1"/>
        <v>17.626686216162586</v>
      </c>
      <c r="D13" s="48" t="s">
        <v>249</v>
      </c>
      <c r="E13" s="18">
        <v>358.16750937</v>
      </c>
      <c r="F13" s="166">
        <f t="shared" si="2"/>
        <v>5.3163695731301548</v>
      </c>
      <c r="J13" s="18"/>
      <c r="P13" s="18"/>
      <c r="R13" s="18"/>
    </row>
    <row r="14" spans="1:18" x14ac:dyDescent="0.25">
      <c r="A14" s="48" t="s">
        <v>249</v>
      </c>
      <c r="B14" s="48">
        <v>184.02603078999999</v>
      </c>
      <c r="C14" s="161">
        <f t="shared" si="1"/>
        <v>3.4074577256048038</v>
      </c>
      <c r="D14" s="21" t="s">
        <v>451</v>
      </c>
      <c r="E14" s="18">
        <v>65.092273980000002</v>
      </c>
      <c r="F14" s="166">
        <f t="shared" si="2"/>
        <v>0.9661808393559137</v>
      </c>
      <c r="J14" s="18"/>
      <c r="K14" s="18"/>
      <c r="L14" s="18"/>
      <c r="M14" s="18"/>
      <c r="N14" s="18"/>
      <c r="P14" s="18"/>
      <c r="R14" s="18"/>
    </row>
    <row r="15" spans="1:18" x14ac:dyDescent="0.25">
      <c r="A15" s="21" t="s">
        <v>236</v>
      </c>
      <c r="B15" s="48">
        <v>77.521735150000012</v>
      </c>
      <c r="C15" s="161">
        <f t="shared" si="1"/>
        <v>1.4354058184333294</v>
      </c>
      <c r="D15" s="21" t="s">
        <v>245</v>
      </c>
      <c r="E15" s="18">
        <v>40.640590189999998</v>
      </c>
      <c r="F15" s="166">
        <f t="shared" si="2"/>
        <v>0.6032384051256019</v>
      </c>
      <c r="J15" s="18"/>
      <c r="K15" s="18"/>
      <c r="L15" s="18"/>
      <c r="M15" s="18"/>
      <c r="N15" s="18"/>
      <c r="P15" s="18"/>
      <c r="R15" s="18"/>
    </row>
    <row r="16" spans="1:18" x14ac:dyDescent="0.25">
      <c r="A16" s="21" t="s">
        <v>327</v>
      </c>
      <c r="B16" s="48">
        <v>59.928897219999996</v>
      </c>
      <c r="C16" s="161">
        <f t="shared" si="1"/>
        <v>1.1096537970342497</v>
      </c>
      <c r="D16" s="21" t="s">
        <v>254</v>
      </c>
      <c r="E16" s="18">
        <v>23.744561609999998</v>
      </c>
      <c r="F16" s="166">
        <f t="shared" si="2"/>
        <v>0.35244644354469679</v>
      </c>
      <c r="J16" s="18"/>
      <c r="P16" s="18"/>
      <c r="R16" s="18"/>
    </row>
    <row r="17" spans="1:18" x14ac:dyDescent="0.25">
      <c r="A17" s="21" t="s">
        <v>253</v>
      </c>
      <c r="B17" s="48">
        <v>45.709125450000002</v>
      </c>
      <c r="C17" s="161">
        <f t="shared" si="1"/>
        <v>0.84635805041612211</v>
      </c>
      <c r="D17" s="48" t="s">
        <v>277</v>
      </c>
      <c r="E17" s="18">
        <v>22.479425299999999</v>
      </c>
      <c r="F17" s="166">
        <f t="shared" si="2"/>
        <v>0.33366771010743784</v>
      </c>
      <c r="J17" s="18"/>
      <c r="P17" s="18"/>
      <c r="R17" s="18"/>
    </row>
    <row r="18" spans="1:18" x14ac:dyDescent="0.25">
      <c r="A18" s="21" t="s">
        <v>258</v>
      </c>
      <c r="B18" s="48">
        <v>44.825112529999998</v>
      </c>
      <c r="C18" s="161">
        <f t="shared" si="1"/>
        <v>0.82998951472115912</v>
      </c>
      <c r="D18" s="21" t="s">
        <v>238</v>
      </c>
      <c r="E18" s="18">
        <v>10.082264439999999</v>
      </c>
      <c r="F18" s="166">
        <f t="shared" si="2"/>
        <v>0.14965356291348114</v>
      </c>
      <c r="J18" s="18"/>
      <c r="P18" s="18"/>
      <c r="R18" s="18"/>
    </row>
    <row r="19" spans="1:18" x14ac:dyDescent="0.25">
      <c r="A19" s="21" t="s">
        <v>254</v>
      </c>
      <c r="B19" s="48">
        <v>41.484030580000102</v>
      </c>
      <c r="C19" s="161">
        <f t="shared" si="1"/>
        <v>0.76812546508897772</v>
      </c>
      <c r="D19" s="21" t="s">
        <v>253</v>
      </c>
      <c r="E19" s="18">
        <v>9.8384856899999988</v>
      </c>
      <c r="F19" s="166">
        <f t="shared" si="2"/>
        <v>0.14603509419376018</v>
      </c>
      <c r="J19" s="18"/>
      <c r="P19" s="18"/>
      <c r="R19" s="18"/>
    </row>
    <row r="20" spans="1:18" x14ac:dyDescent="0.25">
      <c r="A20" s="21" t="s">
        <v>271</v>
      </c>
      <c r="B20" s="48">
        <v>11.169361929999999</v>
      </c>
      <c r="C20" s="161">
        <f t="shared" si="1"/>
        <v>0.20681383190775648</v>
      </c>
      <c r="D20" s="21" t="s">
        <v>273</v>
      </c>
      <c r="E20" s="18">
        <v>7.05733313</v>
      </c>
      <c r="F20" s="166">
        <f t="shared" si="2"/>
        <v>0.10475375386720662</v>
      </c>
      <c r="J20" s="18"/>
      <c r="P20" s="18"/>
      <c r="R20" s="18"/>
    </row>
    <row r="21" spans="1:18" x14ac:dyDescent="0.25">
      <c r="A21" s="21" t="s">
        <v>272</v>
      </c>
      <c r="B21" s="48">
        <v>6.83316839</v>
      </c>
      <c r="C21" s="161">
        <f t="shared" si="1"/>
        <v>0.12652412444538408</v>
      </c>
      <c r="D21" s="21" t="s">
        <v>271</v>
      </c>
      <c r="E21" s="18">
        <v>3.0435472799999999</v>
      </c>
      <c r="F21" s="166">
        <f t="shared" si="2"/>
        <v>4.5176130526847637E-2</v>
      </c>
      <c r="J21" s="18"/>
      <c r="P21" s="18"/>
      <c r="R21" s="18"/>
    </row>
    <row r="22" spans="1:18" x14ac:dyDescent="0.25">
      <c r="A22" s="21" t="s">
        <v>338</v>
      </c>
      <c r="B22" s="48">
        <v>5.7486133700000002</v>
      </c>
      <c r="C22" s="161">
        <f t="shared" si="1"/>
        <v>0.10644231663875017</v>
      </c>
      <c r="D22" s="21" t="s">
        <v>258</v>
      </c>
      <c r="E22" s="18">
        <v>1.9715293899999999</v>
      </c>
      <c r="F22" s="166">
        <f t="shared" si="2"/>
        <v>2.9263901909930667E-2</v>
      </c>
      <c r="J22" s="18"/>
      <c r="P22" s="18"/>
      <c r="R22" s="18"/>
    </row>
    <row r="23" spans="1:18" x14ac:dyDescent="0.25">
      <c r="A23" s="21" t="s">
        <v>269</v>
      </c>
      <c r="B23" s="48">
        <v>4.4306419999999997</v>
      </c>
      <c r="C23" s="161">
        <f t="shared" si="1"/>
        <v>8.2038531437529122E-2</v>
      </c>
      <c r="D23" s="21" t="s">
        <v>265</v>
      </c>
      <c r="E23" s="18">
        <v>1.29396592</v>
      </c>
      <c r="F23" s="166">
        <f t="shared" si="2"/>
        <v>1.9206658520912641E-2</v>
      </c>
      <c r="J23" s="18"/>
      <c r="P23" s="18"/>
      <c r="R23" s="18"/>
    </row>
    <row r="24" spans="1:18" x14ac:dyDescent="0.25">
      <c r="A24" s="21" t="s">
        <v>276</v>
      </c>
      <c r="B24" s="48">
        <v>3.2428132599999997</v>
      </c>
      <c r="C24" s="161">
        <f t="shared" si="1"/>
        <v>6.0044489619460635E-2</v>
      </c>
      <c r="D24" s="21" t="s">
        <v>276</v>
      </c>
      <c r="E24" s="18">
        <v>0.38956414</v>
      </c>
      <c r="F24" s="166">
        <f t="shared" si="2"/>
        <v>5.7823975835260052E-3</v>
      </c>
      <c r="J24" s="18"/>
      <c r="P24" s="18"/>
      <c r="R24" s="18"/>
    </row>
    <row r="25" spans="1:18" x14ac:dyDescent="0.25">
      <c r="A25" s="21" t="s">
        <v>295</v>
      </c>
      <c r="B25" s="48">
        <v>2.0917384000000001</v>
      </c>
      <c r="C25" s="161">
        <f t="shared" si="1"/>
        <v>3.873098898251922E-2</v>
      </c>
      <c r="D25" s="21" t="s">
        <v>286</v>
      </c>
      <c r="E25" s="18">
        <v>0.33952170000000004</v>
      </c>
      <c r="F25" s="166">
        <f t="shared" si="2"/>
        <v>5.03960517935414E-3</v>
      </c>
      <c r="J25" s="18"/>
      <c r="P25" s="18"/>
      <c r="R25" s="18"/>
    </row>
    <row r="26" spans="1:18" x14ac:dyDescent="0.25">
      <c r="A26" s="21" t="s">
        <v>237</v>
      </c>
      <c r="B26" s="48">
        <v>0.90133743999999993</v>
      </c>
      <c r="C26" s="161">
        <f t="shared" si="1"/>
        <v>1.6689319495292562E-2</v>
      </c>
      <c r="D26" s="21" t="s">
        <v>272</v>
      </c>
      <c r="E26" s="18">
        <v>0.32425086999999997</v>
      </c>
      <c r="F26" s="166">
        <f t="shared" si="2"/>
        <v>4.812936445187703E-3</v>
      </c>
      <c r="J26" s="18"/>
      <c r="P26" s="18"/>
      <c r="R26" s="18"/>
    </row>
    <row r="27" spans="1:18" x14ac:dyDescent="0.25">
      <c r="A27" s="21" t="s">
        <v>280</v>
      </c>
      <c r="B27" s="48">
        <v>0.66500000000000004</v>
      </c>
      <c r="C27" s="161">
        <f t="shared" si="1"/>
        <v>1.2313254694456668E-2</v>
      </c>
      <c r="D27" s="21" t="s">
        <v>281</v>
      </c>
      <c r="E27" s="18">
        <v>0.31845204999999999</v>
      </c>
      <c r="F27" s="166">
        <f t="shared" si="2"/>
        <v>4.7268631152469591E-3</v>
      </c>
      <c r="J27" s="18"/>
      <c r="P27" s="18"/>
      <c r="R27" s="18"/>
    </row>
    <row r="28" spans="1:18" x14ac:dyDescent="0.25">
      <c r="A28" s="21" t="s">
        <v>315</v>
      </c>
      <c r="B28" s="48">
        <v>0.58050946999999997</v>
      </c>
      <c r="C28" s="161">
        <f t="shared" si="1"/>
        <v>1.074881346865271E-2</v>
      </c>
      <c r="D28" s="21" t="s">
        <v>269</v>
      </c>
      <c r="E28" s="18">
        <v>0.26713176</v>
      </c>
      <c r="F28" s="166">
        <f t="shared" si="2"/>
        <v>3.9651032651697579E-3</v>
      </c>
      <c r="J28" s="18"/>
      <c r="P28" s="18"/>
      <c r="R28" s="18"/>
    </row>
    <row r="29" spans="1:18" x14ac:dyDescent="0.25">
      <c r="A29" s="21" t="s">
        <v>265</v>
      </c>
      <c r="B29" s="48">
        <v>0.44289852000000002</v>
      </c>
      <c r="C29" s="161">
        <f t="shared" si="1"/>
        <v>8.2007853842976097E-3</v>
      </c>
      <c r="D29" s="21" t="s">
        <v>280</v>
      </c>
      <c r="E29" s="18">
        <v>0.26132476999999998</v>
      </c>
      <c r="F29" s="166">
        <f t="shared" si="2"/>
        <v>3.8789086658835925E-3</v>
      </c>
      <c r="J29" s="18"/>
      <c r="P29" s="18"/>
      <c r="R29" s="18"/>
    </row>
    <row r="30" spans="1:18" x14ac:dyDescent="0.25">
      <c r="A30" s="21" t="s">
        <v>268</v>
      </c>
      <c r="B30" s="48">
        <v>0.30788399999999999</v>
      </c>
      <c r="C30" s="161">
        <f t="shared" si="1"/>
        <v>5.7008332456362351E-3</v>
      </c>
      <c r="D30" s="21" t="s">
        <v>287</v>
      </c>
      <c r="E30" s="18">
        <v>0.21925757000000001</v>
      </c>
      <c r="F30" s="166">
        <f t="shared" si="2"/>
        <v>3.2544947359317618E-3</v>
      </c>
      <c r="J30" s="18"/>
      <c r="P30" s="18"/>
      <c r="R30" s="18"/>
    </row>
    <row r="31" spans="1:18" x14ac:dyDescent="0.25">
      <c r="A31" s="21" t="s">
        <v>311</v>
      </c>
      <c r="B31" s="48">
        <v>0.12619922</v>
      </c>
      <c r="C31" s="161">
        <f t="shared" si="1"/>
        <v>2.3367265234613081E-3</v>
      </c>
      <c r="D31" s="21" t="s">
        <v>278</v>
      </c>
      <c r="E31" s="18">
        <v>0.21068587999999999</v>
      </c>
      <c r="F31" s="166">
        <f t="shared" si="2"/>
        <v>3.1272630057660078E-3</v>
      </c>
      <c r="J31" s="18"/>
      <c r="P31" s="18"/>
      <c r="R31" s="18"/>
    </row>
    <row r="32" spans="1:18" x14ac:dyDescent="0.25">
      <c r="A32" s="21" t="s">
        <v>283</v>
      </c>
      <c r="B32" s="48">
        <v>0.10214943</v>
      </c>
      <c r="C32" s="161">
        <f t="shared" si="1"/>
        <v>1.8914164638850718E-3</v>
      </c>
      <c r="D32" s="21" t="s">
        <v>282</v>
      </c>
      <c r="E32" s="18">
        <v>0.18320272000000001</v>
      </c>
      <c r="F32" s="166">
        <f t="shared" si="2"/>
        <v>2.7193236149081674E-3</v>
      </c>
      <c r="J32" s="18"/>
      <c r="P32" s="18"/>
      <c r="R32" s="18"/>
    </row>
    <row r="33" spans="1:23" x14ac:dyDescent="0.25">
      <c r="A33" s="21" t="s">
        <v>278</v>
      </c>
      <c r="B33" s="48">
        <v>9.7093300000000007E-2</v>
      </c>
      <c r="C33" s="161">
        <f t="shared" si="1"/>
        <v>1.7977962887598339E-3</v>
      </c>
      <c r="D33" s="21" t="s">
        <v>907</v>
      </c>
      <c r="E33" s="18">
        <v>8.9503059999999995E-2</v>
      </c>
      <c r="F33" s="166">
        <f t="shared" si="2"/>
        <v>1.3285162177971079E-3</v>
      </c>
      <c r="J33" s="18"/>
      <c r="P33" s="18"/>
      <c r="R33" s="18"/>
    </row>
    <row r="34" spans="1:23" x14ac:dyDescent="0.25">
      <c r="A34" s="21" t="s">
        <v>336</v>
      </c>
      <c r="B34" s="48">
        <v>3.0040000000000001E-2</v>
      </c>
      <c r="C34" s="161">
        <f t="shared" si="1"/>
        <v>5.5622582108492979E-4</v>
      </c>
      <c r="D34" s="21" t="s">
        <v>336</v>
      </c>
      <c r="E34" s="18">
        <v>4.3949169999999996E-2</v>
      </c>
      <c r="F34" s="166">
        <f t="shared" si="2"/>
        <v>6.5234847952374045E-4</v>
      </c>
      <c r="J34" s="18"/>
      <c r="P34" s="18"/>
      <c r="R34" s="18"/>
    </row>
    <row r="35" spans="1:23" x14ac:dyDescent="0.25">
      <c r="A35" s="21" t="s">
        <v>279</v>
      </c>
      <c r="B35" s="48">
        <v>3.686E-3</v>
      </c>
      <c r="C35" s="161">
        <f t="shared" si="1"/>
        <v>6.8250611734988395E-5</v>
      </c>
      <c r="D35" s="21" t="s">
        <v>898</v>
      </c>
      <c r="E35" s="18">
        <v>3.3743459999999996E-2</v>
      </c>
      <c r="F35" s="166">
        <f t="shared" si="2"/>
        <v>5.0086258340874593E-4</v>
      </c>
      <c r="J35" s="18"/>
      <c r="P35" s="18"/>
      <c r="R35" s="18"/>
    </row>
    <row r="36" spans="1:23" x14ac:dyDescent="0.25">
      <c r="A36" s="21" t="s">
        <v>238</v>
      </c>
      <c r="B36" s="48">
        <v>5.0000000000000001E-4</v>
      </c>
      <c r="C36" s="161">
        <f t="shared" si="1"/>
        <v>9.2580862364335843E-6</v>
      </c>
      <c r="D36" s="21" t="s">
        <v>237</v>
      </c>
      <c r="E36" s="18">
        <v>1.8936689999999999E-2</v>
      </c>
      <c r="F36" s="166">
        <f t="shared" si="2"/>
        <v>2.8108200743523536E-4</v>
      </c>
      <c r="J36" s="18"/>
      <c r="P36" s="18"/>
      <c r="R36" s="18"/>
    </row>
    <row r="37" spans="1:23" x14ac:dyDescent="0.25">
      <c r="A37" s="164"/>
      <c r="B37" s="151"/>
      <c r="C37" s="161"/>
      <c r="D37" s="21" t="s">
        <v>960</v>
      </c>
      <c r="E37" s="18">
        <v>1.510309E-2</v>
      </c>
      <c r="F37" s="166">
        <f t="shared" si="2"/>
        <v>2.2417892755677095E-4</v>
      </c>
      <c r="J37" s="18"/>
      <c r="P37" s="18"/>
      <c r="R37" s="18"/>
    </row>
    <row r="38" spans="1:23" x14ac:dyDescent="0.25">
      <c r="A38" s="164"/>
      <c r="B38" s="151"/>
      <c r="C38" s="161"/>
      <c r="D38" s="21" t="s">
        <v>315</v>
      </c>
      <c r="E38" s="18">
        <v>6.3498800000000005E-3</v>
      </c>
      <c r="F38" s="166">
        <f t="shared" si="2"/>
        <v>9.4252850808290809E-5</v>
      </c>
      <c r="J38" s="18"/>
      <c r="P38" s="18"/>
      <c r="R38" s="18"/>
    </row>
    <row r="39" spans="1:23" x14ac:dyDescent="0.25">
      <c r="A39" s="164"/>
      <c r="B39" s="151"/>
      <c r="C39" s="161"/>
      <c r="D39" s="21" t="s">
        <v>279</v>
      </c>
      <c r="E39" s="18">
        <v>6.2948199999999996E-3</v>
      </c>
      <c r="F39" s="166">
        <f t="shared" si="2"/>
        <v>9.3435581510996273E-5</v>
      </c>
      <c r="H39" s="39"/>
      <c r="I39" s="39"/>
      <c r="J39" s="18"/>
      <c r="P39" s="18"/>
      <c r="R39" s="18"/>
    </row>
    <row r="40" spans="1:23" x14ac:dyDescent="0.25">
      <c r="A40" s="358"/>
      <c r="B40" s="151"/>
      <c r="C40" s="151"/>
      <c r="D40" s="21" t="s">
        <v>268</v>
      </c>
      <c r="E40" s="18">
        <v>4.3293799999999999E-3</v>
      </c>
      <c r="F40" s="166">
        <f t="shared" si="2"/>
        <v>6.4262065933907099E-5</v>
      </c>
      <c r="J40" s="18"/>
      <c r="P40" s="18"/>
      <c r="R40" s="18"/>
    </row>
    <row r="41" spans="1:23" x14ac:dyDescent="0.25">
      <c r="A41" s="358"/>
      <c r="B41" s="151"/>
      <c r="C41" s="151"/>
      <c r="D41" s="21" t="s">
        <v>275</v>
      </c>
      <c r="E41" s="18">
        <v>3.5069200000000002E-3</v>
      </c>
      <c r="F41" s="166">
        <f t="shared" si="2"/>
        <v>5.2054087251508874E-5</v>
      </c>
      <c r="J41" s="18"/>
      <c r="P41" s="18"/>
      <c r="R41" s="18"/>
    </row>
    <row r="42" spans="1:23" x14ac:dyDescent="0.25">
      <c r="A42" s="358"/>
      <c r="B42" s="151"/>
      <c r="C42" s="151"/>
      <c r="D42" s="21" t="s">
        <v>917</v>
      </c>
      <c r="E42" s="18">
        <v>3.4491399999999998E-3</v>
      </c>
      <c r="F42" s="166">
        <f t="shared" si="2"/>
        <v>5.1196444316571033E-5</v>
      </c>
      <c r="J42" s="18"/>
      <c r="P42" s="18"/>
      <c r="R42" s="18"/>
    </row>
    <row r="43" spans="1:23" x14ac:dyDescent="0.25">
      <c r="A43" s="358"/>
      <c r="B43" s="151"/>
      <c r="C43" s="151"/>
      <c r="D43" s="21" t="s">
        <v>335</v>
      </c>
      <c r="E43" s="18">
        <v>2.56829E-3</v>
      </c>
      <c r="F43" s="166">
        <f t="shared" si="2"/>
        <v>3.8121768317263506E-5</v>
      </c>
      <c r="J43" s="18"/>
      <c r="P43" s="18"/>
      <c r="R43" s="18"/>
    </row>
    <row r="44" spans="1:23" x14ac:dyDescent="0.25">
      <c r="A44" s="358"/>
      <c r="B44" s="151"/>
      <c r="C44" s="151"/>
      <c r="D44" s="21" t="s">
        <v>911</v>
      </c>
      <c r="E44" s="18">
        <v>9.1350000000000003E-4</v>
      </c>
      <c r="F44" s="166">
        <f t="shared" si="2"/>
        <v>1.3559308083518688E-5</v>
      </c>
      <c r="J44" s="18"/>
      <c r="P44" s="18"/>
      <c r="R44" s="18"/>
    </row>
    <row r="45" spans="1:23" x14ac:dyDescent="0.25">
      <c r="A45" s="358"/>
      <c r="B45" s="151"/>
      <c r="C45" s="151"/>
      <c r="D45" s="21" t="s">
        <v>288</v>
      </c>
      <c r="E45" s="18">
        <v>7.6218E-4</v>
      </c>
      <c r="F45" s="166">
        <f t="shared" si="2"/>
        <v>1.1313227624626464E-5</v>
      </c>
      <c r="J45" s="18"/>
      <c r="P45" s="18"/>
      <c r="R45" s="18"/>
    </row>
    <row r="46" spans="1:23" x14ac:dyDescent="0.25">
      <c r="A46" s="358"/>
      <c r="B46" s="151"/>
      <c r="C46" s="151"/>
      <c r="D46" s="21" t="s">
        <v>957</v>
      </c>
      <c r="E46" s="18">
        <v>6.0507000000000009E-4</v>
      </c>
      <c r="F46" s="166">
        <f t="shared" si="2"/>
        <v>8.9812047532508525E-6</v>
      </c>
      <c r="J46" s="18"/>
      <c r="P46" s="18"/>
      <c r="R46" s="18"/>
    </row>
    <row r="47" spans="1:23" x14ac:dyDescent="0.25">
      <c r="A47" s="358"/>
      <c r="B47" s="151"/>
      <c r="C47" s="151"/>
      <c r="D47" s="21" t="s">
        <v>916</v>
      </c>
      <c r="E47" s="18">
        <v>5.4528999999999992E-4</v>
      </c>
      <c r="F47" s="166">
        <f t="shared" si="2"/>
        <v>8.0938753200458719E-6</v>
      </c>
      <c r="H47" s="471"/>
      <c r="I47" s="471"/>
      <c r="J47" s="18"/>
      <c r="P47" s="18"/>
      <c r="R47" s="18"/>
    </row>
    <row r="48" spans="1:23" s="11" customFormat="1" ht="13" x14ac:dyDescent="0.3">
      <c r="A48" s="359" t="s">
        <v>217</v>
      </c>
      <c r="B48" s="360">
        <f>SUM(B11:B47)</f>
        <v>5400.6841935900011</v>
      </c>
      <c r="C48" s="360">
        <f>SUM(C11:C47)</f>
        <v>100</v>
      </c>
      <c r="D48" s="360"/>
      <c r="E48" s="359">
        <f>SUM(E11:E47)</f>
        <v>6737.0694313698605</v>
      </c>
      <c r="F48" s="361">
        <f>SUM(F11:F47)</f>
        <v>100</v>
      </c>
      <c r="H48" s="169"/>
      <c r="I48" s="170"/>
      <c r="J48" s="96"/>
      <c r="O48" s="20"/>
      <c r="P48" s="18"/>
      <c r="Q48" s="20"/>
      <c r="R48" s="18"/>
      <c r="W48" s="96"/>
    </row>
    <row r="49" spans="1:18" x14ac:dyDescent="0.25">
      <c r="J49" s="18"/>
      <c r="P49" s="18"/>
      <c r="R49" s="18"/>
    </row>
    <row r="50" spans="1:18" ht="13" x14ac:dyDescent="0.25">
      <c r="A50" s="545" t="s">
        <v>1004</v>
      </c>
      <c r="B50" s="591"/>
      <c r="C50" s="591"/>
      <c r="D50" s="591"/>
      <c r="E50" s="591"/>
      <c r="F50" s="584"/>
      <c r="J50" s="18"/>
      <c r="P50" s="18"/>
      <c r="R50" s="18"/>
    </row>
    <row r="51" spans="1:18" ht="13" x14ac:dyDescent="0.3">
      <c r="A51" s="26" t="s">
        <v>427</v>
      </c>
      <c r="B51" s="26" t="s">
        <v>290</v>
      </c>
      <c r="C51" s="26" t="s">
        <v>234</v>
      </c>
      <c r="D51" s="26" t="s">
        <v>427</v>
      </c>
      <c r="E51" s="26" t="s">
        <v>289</v>
      </c>
      <c r="F51" s="26" t="s">
        <v>234</v>
      </c>
      <c r="J51" s="18"/>
      <c r="P51" s="18"/>
      <c r="R51" s="18"/>
    </row>
    <row r="52" spans="1:18" x14ac:dyDescent="0.25">
      <c r="A52" s="37" t="s">
        <v>216</v>
      </c>
      <c r="B52" s="18">
        <v>2104.9002070000001</v>
      </c>
      <c r="C52" s="162">
        <f t="shared" ref="C52:C115" si="3">(B52/$B$294)*100</f>
        <v>38.974695270985812</v>
      </c>
      <c r="D52" s="21" t="s">
        <v>52</v>
      </c>
      <c r="E52" s="18">
        <v>406.79369464000001</v>
      </c>
      <c r="F52" s="166">
        <f t="shared" ref="F52:F115" si="4">(E52/$E$294)*100</f>
        <v>6.0381401555079046</v>
      </c>
      <c r="J52" s="18"/>
      <c r="P52" s="18"/>
      <c r="R52" s="18"/>
    </row>
    <row r="53" spans="1:18" x14ac:dyDescent="0.25">
      <c r="A53" s="37" t="s">
        <v>121</v>
      </c>
      <c r="B53" s="18">
        <v>727.99898244000008</v>
      </c>
      <c r="C53" s="162">
        <f t="shared" si="3"/>
        <v>13.47975471893084</v>
      </c>
      <c r="D53" s="21" t="s">
        <v>54</v>
      </c>
      <c r="E53" s="18">
        <v>358.16625364999999</v>
      </c>
      <c r="F53" s="166">
        <f t="shared" si="4"/>
        <v>5.3163509341652428</v>
      </c>
      <c r="P53" s="18"/>
      <c r="R53" s="18"/>
    </row>
    <row r="54" spans="1:18" x14ac:dyDescent="0.25">
      <c r="A54" s="37" t="s">
        <v>8</v>
      </c>
      <c r="B54" s="18">
        <v>446.40498580000002</v>
      </c>
      <c r="C54" s="162">
        <f t="shared" si="3"/>
        <v>8.2657117098206196</v>
      </c>
      <c r="D54" s="21" t="s">
        <v>179</v>
      </c>
      <c r="E54" s="18">
        <v>336.45274610000001</v>
      </c>
      <c r="F54" s="166">
        <f t="shared" si="4"/>
        <v>4.9940519320368875</v>
      </c>
      <c r="P54" s="18"/>
      <c r="R54" s="18"/>
    </row>
    <row r="55" spans="1:18" x14ac:dyDescent="0.25">
      <c r="A55" s="37" t="s">
        <v>62</v>
      </c>
      <c r="B55" s="18">
        <v>366.21461872000003</v>
      </c>
      <c r="C55" s="162">
        <f t="shared" si="3"/>
        <v>6.7808930423048102</v>
      </c>
      <c r="D55" s="21" t="s">
        <v>30</v>
      </c>
      <c r="E55" s="18">
        <v>217.34639508000001</v>
      </c>
      <c r="F55" s="166">
        <f t="shared" si="4"/>
        <v>3.2261266904563</v>
      </c>
      <c r="P55" s="18"/>
      <c r="R55" s="18"/>
    </row>
    <row r="56" spans="1:18" x14ac:dyDescent="0.25">
      <c r="A56" s="37" t="s">
        <v>30</v>
      </c>
      <c r="B56" s="18">
        <v>176.59233523</v>
      </c>
      <c r="C56" s="162">
        <f t="shared" si="3"/>
        <v>3.2698141365050573</v>
      </c>
      <c r="D56" s="21" t="s">
        <v>208</v>
      </c>
      <c r="E56" s="18">
        <v>162.02167094000001</v>
      </c>
      <c r="F56" s="166">
        <f t="shared" si="4"/>
        <v>2.4049280268001114</v>
      </c>
      <c r="P56" s="18"/>
      <c r="R56" s="18"/>
    </row>
    <row r="57" spans="1:18" x14ac:dyDescent="0.25">
      <c r="A57" s="37" t="s">
        <v>85</v>
      </c>
      <c r="B57" s="18">
        <v>160.89652380999999</v>
      </c>
      <c r="C57" s="162">
        <f t="shared" si="3"/>
        <v>2.9791877851507387</v>
      </c>
      <c r="D57" s="21" t="s">
        <v>21</v>
      </c>
      <c r="E57" s="18">
        <v>148.64508228</v>
      </c>
      <c r="F57" s="166">
        <f t="shared" si="4"/>
        <v>2.2063759887624115</v>
      </c>
      <c r="P57" s="18"/>
      <c r="R57" s="18"/>
    </row>
    <row r="58" spans="1:18" x14ac:dyDescent="0.25">
      <c r="A58" s="37" t="s">
        <v>54</v>
      </c>
      <c r="B58" s="18">
        <v>118.39380568999999</v>
      </c>
      <c r="C58" s="162">
        <f t="shared" si="3"/>
        <v>2.192200125875162</v>
      </c>
      <c r="D58" s="21" t="s">
        <v>83</v>
      </c>
      <c r="E58" s="18">
        <v>141.67180941000001</v>
      </c>
      <c r="F58" s="166">
        <f t="shared" si="4"/>
        <v>2.1028699622766203</v>
      </c>
      <c r="P58" s="18"/>
      <c r="R58" s="18"/>
    </row>
    <row r="59" spans="1:18" x14ac:dyDescent="0.25">
      <c r="A59" s="37" t="s">
        <v>101</v>
      </c>
      <c r="B59" s="18">
        <v>115.79313969</v>
      </c>
      <c r="C59" s="162">
        <f t="shared" si="3"/>
        <v>2.1440457456748407</v>
      </c>
      <c r="D59" s="21" t="s">
        <v>28</v>
      </c>
      <c r="E59" s="18">
        <v>141.07931705999999</v>
      </c>
      <c r="F59" s="166">
        <f t="shared" si="4"/>
        <v>2.0940754507158337</v>
      </c>
      <c r="P59" s="18"/>
      <c r="R59" s="18"/>
    </row>
    <row r="60" spans="1:18" x14ac:dyDescent="0.25">
      <c r="A60" s="37" t="s">
        <v>46</v>
      </c>
      <c r="B60" s="18">
        <v>105.08126163</v>
      </c>
      <c r="C60" s="162">
        <f t="shared" si="3"/>
        <v>1.9457027640075593</v>
      </c>
      <c r="D60" s="21" t="s">
        <v>81</v>
      </c>
      <c r="E60" s="18">
        <v>140.076471</v>
      </c>
      <c r="F60" s="166">
        <f t="shared" si="4"/>
        <v>2.0791899568046324</v>
      </c>
      <c r="P60" s="18"/>
      <c r="R60" s="18"/>
    </row>
    <row r="61" spans="1:18" x14ac:dyDescent="0.25">
      <c r="A61" s="37" t="s">
        <v>96</v>
      </c>
      <c r="B61" s="18">
        <v>103.32468947</v>
      </c>
      <c r="C61" s="162">
        <f t="shared" si="3"/>
        <v>1.913177770931962</v>
      </c>
      <c r="D61" s="21" t="s">
        <v>106</v>
      </c>
      <c r="E61" s="18">
        <v>126.03876665999999</v>
      </c>
      <c r="F61" s="166">
        <f t="shared" si="4"/>
        <v>1.8708248140225818</v>
      </c>
      <c r="P61" s="18"/>
      <c r="R61" s="18"/>
    </row>
    <row r="62" spans="1:18" x14ac:dyDescent="0.25">
      <c r="A62" s="37" t="s">
        <v>0</v>
      </c>
      <c r="B62" s="18">
        <v>88.168211239999991</v>
      </c>
      <c r="C62" s="162">
        <f t="shared" si="3"/>
        <v>1.6325378059440256</v>
      </c>
      <c r="D62" s="21" t="s">
        <v>84</v>
      </c>
      <c r="E62" s="18">
        <v>116.83449783</v>
      </c>
      <c r="F62" s="166">
        <f t="shared" si="4"/>
        <v>1.7342035586865165</v>
      </c>
      <c r="P62" s="18"/>
      <c r="R62" s="18"/>
    </row>
    <row r="63" spans="1:18" x14ac:dyDescent="0.25">
      <c r="A63" s="37" t="s">
        <v>125</v>
      </c>
      <c r="B63" s="18">
        <v>74.755514840000004</v>
      </c>
      <c r="C63" s="162">
        <f t="shared" si="3"/>
        <v>1.3841860060754212</v>
      </c>
      <c r="D63" s="21" t="s">
        <v>138</v>
      </c>
      <c r="E63" s="18">
        <v>110.69718018</v>
      </c>
      <c r="F63" s="166">
        <f t="shared" si="4"/>
        <v>1.6431058237956955</v>
      </c>
      <c r="P63" s="18"/>
      <c r="R63" s="18"/>
    </row>
    <row r="64" spans="1:18" x14ac:dyDescent="0.25">
      <c r="A64" s="37" t="s">
        <v>184</v>
      </c>
      <c r="B64" s="18">
        <v>60.105868710000003</v>
      </c>
      <c r="C64" s="162">
        <f t="shared" si="3"/>
        <v>1.11293063166587</v>
      </c>
      <c r="D64" s="21" t="s">
        <v>189</v>
      </c>
      <c r="E64" s="18">
        <v>108.04898817</v>
      </c>
      <c r="F64" s="166">
        <f t="shared" si="4"/>
        <v>1.6037980500377296</v>
      </c>
      <c r="P64" s="18"/>
      <c r="R64" s="18"/>
    </row>
    <row r="65" spans="1:18" x14ac:dyDescent="0.25">
      <c r="A65" s="37" t="s">
        <v>2</v>
      </c>
      <c r="B65" s="18">
        <v>52.496983270000001</v>
      </c>
      <c r="C65" s="162">
        <f t="shared" si="3"/>
        <v>0.97204319653254234</v>
      </c>
      <c r="D65" s="21" t="s">
        <v>145</v>
      </c>
      <c r="E65" s="18">
        <v>107.68481718000001</v>
      </c>
      <c r="F65" s="166">
        <f t="shared" si="4"/>
        <v>1.5983925693059398</v>
      </c>
      <c r="P65" s="18"/>
      <c r="R65" s="18"/>
    </row>
    <row r="66" spans="1:18" x14ac:dyDescent="0.25">
      <c r="A66" s="37" t="s">
        <v>11</v>
      </c>
      <c r="B66" s="18">
        <v>49.07596032</v>
      </c>
      <c r="C66" s="162">
        <f t="shared" si="3"/>
        <v>0.9086989455567055</v>
      </c>
      <c r="D66" s="21" t="s">
        <v>85</v>
      </c>
      <c r="E66" s="18">
        <v>106.64369271</v>
      </c>
      <c r="F66" s="166">
        <f t="shared" si="4"/>
        <v>1.5829388994186713</v>
      </c>
      <c r="P66" s="18"/>
      <c r="R66" s="18"/>
    </row>
    <row r="67" spans="1:18" x14ac:dyDescent="0.25">
      <c r="A67" s="37" t="s">
        <v>151</v>
      </c>
      <c r="B67" s="18">
        <v>45.560900329999996</v>
      </c>
      <c r="C67" s="162">
        <f t="shared" si="3"/>
        <v>0.84361348852939055</v>
      </c>
      <c r="D67" s="21" t="s">
        <v>27</v>
      </c>
      <c r="E67" s="18">
        <v>102.57950248</v>
      </c>
      <c r="F67" s="166">
        <f t="shared" si="4"/>
        <v>1.5226131113085501</v>
      </c>
      <c r="P67" s="18"/>
      <c r="R67" s="18"/>
    </row>
    <row r="68" spans="1:18" x14ac:dyDescent="0.25">
      <c r="A68" s="37" t="s">
        <v>28</v>
      </c>
      <c r="B68" s="18">
        <v>44.680244869999996</v>
      </c>
      <c r="C68" s="162">
        <f t="shared" si="3"/>
        <v>0.82730712014285834</v>
      </c>
      <c r="D68" s="21" t="s">
        <v>105</v>
      </c>
      <c r="E68" s="18">
        <v>97.465608869999897</v>
      </c>
      <c r="F68" s="166">
        <f t="shared" si="4"/>
        <v>1.4467063144127346</v>
      </c>
      <c r="P68" s="18"/>
      <c r="R68" s="18"/>
    </row>
    <row r="69" spans="1:18" x14ac:dyDescent="0.25">
      <c r="A69" s="37" t="s">
        <v>48</v>
      </c>
      <c r="B69" s="18">
        <v>42.024393209999999</v>
      </c>
      <c r="C69" s="162">
        <f t="shared" si="3"/>
        <v>0.77813091274394797</v>
      </c>
      <c r="D69" s="21" t="s">
        <v>15</v>
      </c>
      <c r="E69" s="18">
        <v>97.356847070000299</v>
      </c>
      <c r="F69" s="166">
        <f t="shared" si="4"/>
        <v>1.4450919359191248</v>
      </c>
      <c r="P69" s="18"/>
      <c r="R69" s="18"/>
    </row>
    <row r="70" spans="1:18" x14ac:dyDescent="0.25">
      <c r="A70" s="37" t="s">
        <v>177</v>
      </c>
      <c r="B70" s="18">
        <v>33.900733359999997</v>
      </c>
      <c r="C70" s="162">
        <f t="shared" si="3"/>
        <v>0.62771182585044161</v>
      </c>
      <c r="D70" s="21" t="s">
        <v>12</v>
      </c>
      <c r="E70" s="18">
        <v>95.818201440000209</v>
      </c>
      <c r="F70" s="166">
        <f t="shared" si="4"/>
        <v>1.4222534355047509</v>
      </c>
      <c r="P70" s="18"/>
      <c r="R70" s="18"/>
    </row>
    <row r="71" spans="1:18" x14ac:dyDescent="0.25">
      <c r="A71" s="37" t="s">
        <v>18</v>
      </c>
      <c r="B71" s="18">
        <v>32.938765879999998</v>
      </c>
      <c r="C71" s="162">
        <f t="shared" si="3"/>
        <v>0.60989987007747226</v>
      </c>
      <c r="D71" s="21" t="s">
        <v>29</v>
      </c>
      <c r="E71" s="18">
        <v>88.9347405299999</v>
      </c>
      <c r="F71" s="166">
        <f t="shared" si="4"/>
        <v>1.3200805103164091</v>
      </c>
      <c r="P71" s="18"/>
      <c r="R71" s="18"/>
    </row>
    <row r="72" spans="1:18" x14ac:dyDescent="0.25">
      <c r="A72" s="37" t="s">
        <v>36</v>
      </c>
      <c r="B72" s="18">
        <v>31.682545960000002</v>
      </c>
      <c r="C72" s="162">
        <f t="shared" si="3"/>
        <v>0.58663948537490096</v>
      </c>
      <c r="D72" s="21" t="s">
        <v>80</v>
      </c>
      <c r="E72" s="18">
        <v>83.965845949999903</v>
      </c>
      <c r="F72" s="166">
        <f t="shared" si="4"/>
        <v>1.2463259701470115</v>
      </c>
      <c r="P72" s="18"/>
      <c r="R72" s="18"/>
    </row>
    <row r="73" spans="1:18" x14ac:dyDescent="0.25">
      <c r="A73" s="37" t="s">
        <v>138</v>
      </c>
      <c r="B73" s="18">
        <v>30.497406379999997</v>
      </c>
      <c r="C73" s="162">
        <f t="shared" si="3"/>
        <v>0.56469523650719955</v>
      </c>
      <c r="D73" s="21" t="s">
        <v>66</v>
      </c>
      <c r="E73" s="18">
        <v>83.793481480000011</v>
      </c>
      <c r="F73" s="166">
        <f t="shared" si="4"/>
        <v>1.243767521377027</v>
      </c>
      <c r="P73" s="18"/>
      <c r="R73" s="18"/>
    </row>
    <row r="74" spans="1:18" x14ac:dyDescent="0.25">
      <c r="A74" s="37" t="s">
        <v>146</v>
      </c>
      <c r="B74" s="18">
        <v>30.264684629999998</v>
      </c>
      <c r="C74" s="162">
        <f t="shared" si="3"/>
        <v>0.5603861204460121</v>
      </c>
      <c r="D74" s="21" t="s">
        <v>174</v>
      </c>
      <c r="E74" s="18">
        <v>79.254732959999998</v>
      </c>
      <c r="F74" s="166">
        <f t="shared" si="4"/>
        <v>1.1763977463400337</v>
      </c>
      <c r="P74" s="18"/>
      <c r="R74" s="18"/>
    </row>
    <row r="75" spans="1:18" x14ac:dyDescent="0.25">
      <c r="A75" s="37" t="s">
        <v>55</v>
      </c>
      <c r="B75" s="18">
        <v>30.11445762</v>
      </c>
      <c r="C75" s="162">
        <f t="shared" si="3"/>
        <v>0.55760449121876898</v>
      </c>
      <c r="D75" s="21" t="s">
        <v>195</v>
      </c>
      <c r="E75" s="18">
        <v>73.261791329999895</v>
      </c>
      <c r="F75" s="166">
        <f t="shared" si="4"/>
        <v>1.0874430206829846</v>
      </c>
      <c r="P75" s="18"/>
      <c r="R75" s="18"/>
    </row>
    <row r="76" spans="1:18" x14ac:dyDescent="0.25">
      <c r="A76" s="37" t="s">
        <v>15</v>
      </c>
      <c r="B76" s="18">
        <v>28.360127260000002</v>
      </c>
      <c r="C76" s="162">
        <f t="shared" si="3"/>
        <v>0.52512100769862191</v>
      </c>
      <c r="D76" s="21" t="s">
        <v>113</v>
      </c>
      <c r="E76" s="18">
        <v>69.928690209999999</v>
      </c>
      <c r="F76" s="166">
        <f t="shared" si="4"/>
        <v>1.037968970371437</v>
      </c>
      <c r="P76" s="18"/>
      <c r="R76" s="18"/>
    </row>
    <row r="77" spans="1:18" x14ac:dyDescent="0.25">
      <c r="A77" s="37" t="s">
        <v>115</v>
      </c>
      <c r="B77" s="18">
        <v>25.84242957</v>
      </c>
      <c r="C77" s="162">
        <f t="shared" si="3"/>
        <v>0.47850288303604255</v>
      </c>
      <c r="D77" s="21" t="s">
        <v>125</v>
      </c>
      <c r="E77" s="18">
        <v>69.815130370000006</v>
      </c>
      <c r="F77" s="166">
        <f t="shared" si="4"/>
        <v>1.0362833733747483</v>
      </c>
      <c r="P77" s="18"/>
      <c r="R77" s="18"/>
    </row>
    <row r="78" spans="1:18" x14ac:dyDescent="0.25">
      <c r="A78" s="37" t="s">
        <v>84</v>
      </c>
      <c r="B78" s="18">
        <v>23.076694030000002</v>
      </c>
      <c r="C78" s="162">
        <f t="shared" si="3"/>
        <v>0.4272920467630642</v>
      </c>
      <c r="D78" s="21" t="s">
        <v>62</v>
      </c>
      <c r="E78" s="18">
        <v>68.967844329999991</v>
      </c>
      <c r="F78" s="166">
        <f t="shared" si="4"/>
        <v>1.0237068955956301</v>
      </c>
      <c r="P78" s="18"/>
      <c r="R78" s="18"/>
    </row>
    <row r="79" spans="1:18" x14ac:dyDescent="0.25">
      <c r="A79" s="37" t="s">
        <v>208</v>
      </c>
      <c r="B79" s="18">
        <v>19.709480469999999</v>
      </c>
      <c r="C79" s="162">
        <f t="shared" si="3"/>
        <v>0.36494413973312706</v>
      </c>
      <c r="D79" s="21" t="s">
        <v>358</v>
      </c>
      <c r="E79" s="18">
        <v>65.127539249999998</v>
      </c>
      <c r="F79" s="166">
        <f t="shared" si="4"/>
        <v>0.96670429054426643</v>
      </c>
      <c r="P79" s="18"/>
      <c r="R79" s="18"/>
    </row>
    <row r="80" spans="1:18" x14ac:dyDescent="0.25">
      <c r="A80" s="37" t="s">
        <v>27</v>
      </c>
      <c r="B80" s="18">
        <v>16.243058850000001</v>
      </c>
      <c r="C80" s="162">
        <f t="shared" si="3"/>
        <v>0.30075927915353146</v>
      </c>
      <c r="D80" s="21" t="s">
        <v>96</v>
      </c>
      <c r="E80" s="18">
        <v>65.123576679999999</v>
      </c>
      <c r="F80" s="166">
        <f t="shared" si="4"/>
        <v>0.96664547313054727</v>
      </c>
      <c r="P80" s="18"/>
      <c r="R80" s="18"/>
    </row>
    <row r="81" spans="1:18" x14ac:dyDescent="0.25">
      <c r="A81" s="37" t="s">
        <v>97</v>
      </c>
      <c r="B81" s="18">
        <v>14.349419859999999</v>
      </c>
      <c r="C81" s="162">
        <f t="shared" si="3"/>
        <v>0.26569633301334544</v>
      </c>
      <c r="D81" s="21" t="s">
        <v>20</v>
      </c>
      <c r="E81" s="18">
        <v>59.777836310000005</v>
      </c>
      <c r="F81" s="166">
        <f t="shared" si="4"/>
        <v>0.88729731701524173</v>
      </c>
      <c r="P81" s="18"/>
      <c r="R81" s="18"/>
    </row>
    <row r="82" spans="1:18" x14ac:dyDescent="0.25">
      <c r="A82" s="37" t="s">
        <v>179</v>
      </c>
      <c r="B82" s="18">
        <v>13.9513116</v>
      </c>
      <c r="C82" s="162">
        <f t="shared" si="3"/>
        <v>0.25832489180831242</v>
      </c>
      <c r="D82" s="21" t="s">
        <v>191</v>
      </c>
      <c r="E82" s="18">
        <v>57.304724460000003</v>
      </c>
      <c r="F82" s="166">
        <f t="shared" si="4"/>
        <v>0.85058830169050148</v>
      </c>
      <c r="P82" s="18"/>
      <c r="R82" s="18"/>
    </row>
    <row r="83" spans="1:18" x14ac:dyDescent="0.25">
      <c r="A83" s="37" t="s">
        <v>80</v>
      </c>
      <c r="B83" s="18">
        <v>9.5169732400000004</v>
      </c>
      <c r="C83" s="162">
        <f t="shared" si="3"/>
        <v>0.17621791793150146</v>
      </c>
      <c r="D83" s="21" t="s">
        <v>176</v>
      </c>
      <c r="E83" s="18">
        <v>54.842751229999898</v>
      </c>
      <c r="F83" s="166">
        <f t="shared" si="4"/>
        <v>0.81404461967742381</v>
      </c>
      <c r="P83" s="18"/>
      <c r="R83" s="18"/>
    </row>
    <row r="84" spans="1:18" x14ac:dyDescent="0.25">
      <c r="A84" s="37" t="s">
        <v>16</v>
      </c>
      <c r="B84" s="18">
        <v>8.2807722599999991</v>
      </c>
      <c r="C84" s="162">
        <f t="shared" si="3"/>
        <v>0.15332820737469405</v>
      </c>
      <c r="D84" s="21" t="s">
        <v>207</v>
      </c>
      <c r="E84" s="18">
        <v>54.804154709999999</v>
      </c>
      <c r="F84" s="166">
        <f t="shared" si="4"/>
        <v>0.81347172191537642</v>
      </c>
      <c r="P84" s="18"/>
      <c r="R84" s="18"/>
    </row>
    <row r="85" spans="1:18" x14ac:dyDescent="0.25">
      <c r="A85" s="37" t="s">
        <v>1</v>
      </c>
      <c r="B85" s="18">
        <v>7.7954869699999998</v>
      </c>
      <c r="C85" s="162">
        <f t="shared" si="3"/>
        <v>0.1443425812465087</v>
      </c>
      <c r="D85" s="21" t="s">
        <v>180</v>
      </c>
      <c r="E85" s="18">
        <v>54.480016990000003</v>
      </c>
      <c r="F85" s="166">
        <f t="shared" si="4"/>
        <v>0.80866046498382849</v>
      </c>
      <c r="P85" s="18"/>
      <c r="R85" s="18"/>
    </row>
    <row r="86" spans="1:18" x14ac:dyDescent="0.25">
      <c r="A86" s="37" t="s">
        <v>45</v>
      </c>
      <c r="B86" s="18">
        <v>7.3573050599999998</v>
      </c>
      <c r="C86" s="162">
        <f t="shared" si="3"/>
        <v>0.13622912942645832</v>
      </c>
      <c r="D86" s="21" t="s">
        <v>178</v>
      </c>
      <c r="E86" s="18">
        <v>53.133226780000001</v>
      </c>
      <c r="F86" s="166">
        <f t="shared" si="4"/>
        <v>0.78866972236614208</v>
      </c>
      <c r="P86" s="18"/>
      <c r="R86" s="18"/>
    </row>
    <row r="87" spans="1:18" x14ac:dyDescent="0.25">
      <c r="A87" s="37" t="s">
        <v>73</v>
      </c>
      <c r="B87" s="18">
        <v>7.3112782300000001</v>
      </c>
      <c r="C87" s="162">
        <f t="shared" si="3"/>
        <v>0.13537688870379899</v>
      </c>
      <c r="D87" s="21" t="s">
        <v>22</v>
      </c>
      <c r="E87" s="18">
        <v>53.111590920000005</v>
      </c>
      <c r="F87" s="166">
        <f t="shared" si="4"/>
        <v>0.78834857590594309</v>
      </c>
      <c r="P87" s="18"/>
      <c r="R87" s="18"/>
    </row>
    <row r="88" spans="1:18" x14ac:dyDescent="0.25">
      <c r="A88" s="37" t="s">
        <v>140</v>
      </c>
      <c r="B88" s="18">
        <v>7.2619424500000003</v>
      </c>
      <c r="C88" s="162">
        <f t="shared" si="3"/>
        <v>0.13446337889223556</v>
      </c>
      <c r="D88" s="21" t="s">
        <v>119</v>
      </c>
      <c r="E88" s="18">
        <v>51.645243489999999</v>
      </c>
      <c r="F88" s="166">
        <f t="shared" si="4"/>
        <v>0.76658321568607923</v>
      </c>
      <c r="P88" s="18"/>
      <c r="R88" s="18"/>
    </row>
    <row r="89" spans="1:18" x14ac:dyDescent="0.25">
      <c r="A89" s="37" t="s">
        <v>63</v>
      </c>
      <c r="B89" s="18">
        <v>6.6806993399999994</v>
      </c>
      <c r="C89" s="162">
        <f t="shared" si="3"/>
        <v>0.12370098121880985</v>
      </c>
      <c r="D89" s="21" t="s">
        <v>31</v>
      </c>
      <c r="E89" s="18">
        <v>51.075754799999999</v>
      </c>
      <c r="F89" s="166">
        <f t="shared" si="4"/>
        <v>0.75813015318165744</v>
      </c>
      <c r="P89" s="18"/>
      <c r="R89" s="18"/>
    </row>
    <row r="90" spans="1:18" x14ac:dyDescent="0.25">
      <c r="A90" s="37" t="s">
        <v>104</v>
      </c>
      <c r="B90" s="18">
        <v>6.5481852500000004</v>
      </c>
      <c r="C90" s="162">
        <f t="shared" si="3"/>
        <v>0.12124732747328482</v>
      </c>
      <c r="D90" s="21" t="s">
        <v>5</v>
      </c>
      <c r="E90" s="18">
        <v>50.180736590000002</v>
      </c>
      <c r="F90" s="166">
        <f t="shared" si="4"/>
        <v>0.74484517491154345</v>
      </c>
      <c r="P90" s="18"/>
      <c r="R90" s="18"/>
    </row>
    <row r="91" spans="1:18" x14ac:dyDescent="0.25">
      <c r="A91" s="37" t="s">
        <v>113</v>
      </c>
      <c r="B91" s="18">
        <v>6.3970859200000101</v>
      </c>
      <c r="C91" s="162">
        <f t="shared" si="3"/>
        <v>0.11844954621847033</v>
      </c>
      <c r="D91" s="21" t="s">
        <v>131</v>
      </c>
      <c r="E91" s="18">
        <v>48.755652189999999</v>
      </c>
      <c r="F91" s="166">
        <f t="shared" si="4"/>
        <v>0.72369229212597586</v>
      </c>
      <c r="P91" s="18"/>
      <c r="R91" s="18"/>
    </row>
    <row r="92" spans="1:18" x14ac:dyDescent="0.25">
      <c r="A92" s="37" t="s">
        <v>156</v>
      </c>
      <c r="B92" s="18">
        <v>6.1172236299999998</v>
      </c>
      <c r="C92" s="162">
        <f t="shared" si="3"/>
        <v>0.11326756778817858</v>
      </c>
      <c r="D92" s="21" t="s">
        <v>127</v>
      </c>
      <c r="E92" s="18">
        <v>47.60964972</v>
      </c>
      <c r="F92" s="166">
        <f t="shared" si="4"/>
        <v>0.70668189195607656</v>
      </c>
      <c r="P92" s="18"/>
      <c r="R92" s="18"/>
    </row>
    <row r="93" spans="1:18" x14ac:dyDescent="0.25">
      <c r="A93" s="37" t="s">
        <v>189</v>
      </c>
      <c r="B93" s="18">
        <v>5.7043147299999903</v>
      </c>
      <c r="C93" s="162">
        <f t="shared" si="3"/>
        <v>0.10562207538019654</v>
      </c>
      <c r="D93" s="21" t="s">
        <v>171</v>
      </c>
      <c r="E93" s="18">
        <v>47.339261450000002</v>
      </c>
      <c r="F93" s="166">
        <f t="shared" si="4"/>
        <v>0.7026684515016709</v>
      </c>
      <c r="P93" s="18"/>
      <c r="R93" s="18"/>
    </row>
    <row r="94" spans="1:18" x14ac:dyDescent="0.25">
      <c r="A94" s="37" t="s">
        <v>214</v>
      </c>
      <c r="B94" s="18">
        <v>5.0087483399999995</v>
      </c>
      <c r="C94" s="162">
        <f t="shared" si="3"/>
        <v>9.2742848136627115E-2</v>
      </c>
      <c r="D94" s="21" t="s">
        <v>18</v>
      </c>
      <c r="E94" s="18">
        <v>46.288267520000005</v>
      </c>
      <c r="F94" s="166">
        <f t="shared" si="4"/>
        <v>0.68706828676080856</v>
      </c>
      <c r="P94" s="18"/>
      <c r="R94" s="18"/>
    </row>
    <row r="95" spans="1:18" x14ac:dyDescent="0.25">
      <c r="A95" s="37" t="s">
        <v>117</v>
      </c>
      <c r="B95" s="18">
        <v>4.8239868499999998</v>
      </c>
      <c r="C95" s="162">
        <f t="shared" si="3"/>
        <v>8.9321772521443202E-2</v>
      </c>
      <c r="D95" s="21" t="s">
        <v>76</v>
      </c>
      <c r="E95" s="18">
        <v>45.83139568</v>
      </c>
      <c r="F95" s="166">
        <f t="shared" si="4"/>
        <v>0.6802868242175748</v>
      </c>
      <c r="P95" s="18"/>
      <c r="R95" s="18"/>
    </row>
    <row r="96" spans="1:18" x14ac:dyDescent="0.25">
      <c r="A96" s="37" t="s">
        <v>182</v>
      </c>
      <c r="B96" s="18">
        <v>4.5743627800000004</v>
      </c>
      <c r="C96" s="162">
        <f t="shared" si="3"/>
        <v>8.4699690187944141E-2</v>
      </c>
      <c r="D96" s="21" t="s">
        <v>151</v>
      </c>
      <c r="E96" s="18">
        <v>45.449363229999996</v>
      </c>
      <c r="F96" s="166">
        <f t="shared" si="4"/>
        <v>0.67461622138511568</v>
      </c>
      <c r="P96" s="18"/>
      <c r="R96" s="18"/>
    </row>
    <row r="97" spans="1:18" x14ac:dyDescent="0.25">
      <c r="A97" s="37" t="s">
        <v>178</v>
      </c>
      <c r="B97" s="18">
        <v>4.5462054600000004</v>
      </c>
      <c r="C97" s="162">
        <f t="shared" si="3"/>
        <v>8.4178324394450429E-2</v>
      </c>
      <c r="D97" s="21" t="s">
        <v>17</v>
      </c>
      <c r="E97" s="18">
        <v>44.1519174700001</v>
      </c>
      <c r="F97" s="166">
        <f t="shared" si="4"/>
        <v>0.65535791073214011</v>
      </c>
      <c r="P97" s="18"/>
      <c r="R97" s="18"/>
    </row>
    <row r="98" spans="1:18" x14ac:dyDescent="0.25">
      <c r="A98" s="37" t="s">
        <v>87</v>
      </c>
      <c r="B98" s="18">
        <v>4.3804926399999999</v>
      </c>
      <c r="C98" s="162">
        <f t="shared" si="3"/>
        <v>8.1109957238365227E-2</v>
      </c>
      <c r="D98" s="21" t="s">
        <v>182</v>
      </c>
      <c r="E98" s="18">
        <v>44.129878979999994</v>
      </c>
      <c r="F98" s="166">
        <f t="shared" si="4"/>
        <v>0.65503078793454073</v>
      </c>
      <c r="P98" s="18"/>
      <c r="R98" s="18"/>
    </row>
    <row r="99" spans="1:18" x14ac:dyDescent="0.25">
      <c r="A99" s="37" t="s">
        <v>200</v>
      </c>
      <c r="B99" s="18">
        <v>4.04304314</v>
      </c>
      <c r="C99" s="162">
        <f t="shared" si="3"/>
        <v>7.4861684095482439E-2</v>
      </c>
      <c r="D99" s="21" t="s">
        <v>173</v>
      </c>
      <c r="E99" s="18">
        <v>41.580851769999896</v>
      </c>
      <c r="F99" s="166">
        <f t="shared" si="4"/>
        <v>0.61719494200825431</v>
      </c>
      <c r="P99" s="18"/>
      <c r="R99" s="18"/>
    </row>
    <row r="100" spans="1:18" x14ac:dyDescent="0.25">
      <c r="A100" s="37" t="s">
        <v>10</v>
      </c>
      <c r="B100" s="18">
        <v>3.63188143</v>
      </c>
      <c r="C100" s="162">
        <f t="shared" si="3"/>
        <v>6.7248542958883439E-2</v>
      </c>
      <c r="D100" s="21" t="s">
        <v>89</v>
      </c>
      <c r="E100" s="18">
        <v>40.047481670000003</v>
      </c>
      <c r="F100" s="166">
        <f t="shared" si="4"/>
        <v>0.59443474759998505</v>
      </c>
      <c r="P100" s="18"/>
      <c r="R100" s="18"/>
    </row>
    <row r="101" spans="1:18" x14ac:dyDescent="0.25">
      <c r="A101" s="37" t="s">
        <v>50</v>
      </c>
      <c r="B101" s="18">
        <v>3.2924926299999999</v>
      </c>
      <c r="C101" s="162">
        <f t="shared" si="3"/>
        <v>6.0964361402724029E-2</v>
      </c>
      <c r="D101" s="21" t="s">
        <v>79</v>
      </c>
      <c r="E101" s="18">
        <v>39.123607020000101</v>
      </c>
      <c r="F101" s="166">
        <f t="shared" si="4"/>
        <v>0.58072144600184439</v>
      </c>
      <c r="P101" s="18"/>
      <c r="R101" s="18"/>
    </row>
    <row r="102" spans="1:18" x14ac:dyDescent="0.25">
      <c r="A102" s="37" t="s">
        <v>58</v>
      </c>
      <c r="B102" s="18">
        <v>3.1680280299999999</v>
      </c>
      <c r="C102" s="162">
        <f t="shared" si="3"/>
        <v>5.8659753402357601E-2</v>
      </c>
      <c r="D102" s="21" t="s">
        <v>192</v>
      </c>
      <c r="E102" s="18">
        <v>38.807201190000001</v>
      </c>
      <c r="F102" s="166">
        <f t="shared" si="4"/>
        <v>0.57602495543983812</v>
      </c>
      <c r="P102" s="18"/>
      <c r="R102" s="18"/>
    </row>
    <row r="103" spans="1:18" x14ac:dyDescent="0.25">
      <c r="A103" s="37" t="s">
        <v>158</v>
      </c>
      <c r="B103" s="18">
        <v>3.13261864</v>
      </c>
      <c r="C103" s="162">
        <f t="shared" si="3"/>
        <v>5.8004107029958583E-2</v>
      </c>
      <c r="D103" s="21" t="s">
        <v>133</v>
      </c>
      <c r="E103" s="18">
        <v>38.127812169999999</v>
      </c>
      <c r="F103" s="166">
        <f t="shared" si="4"/>
        <v>0.56594061495736459</v>
      </c>
      <c r="P103" s="18"/>
      <c r="R103" s="18"/>
    </row>
    <row r="104" spans="1:18" x14ac:dyDescent="0.25">
      <c r="A104" s="37" t="s">
        <v>215</v>
      </c>
      <c r="B104" s="18">
        <v>3.1117483099999999</v>
      </c>
      <c r="C104" s="162">
        <f t="shared" si="3"/>
        <v>5.7617668400112926E-2</v>
      </c>
      <c r="D104" s="21" t="s">
        <v>198</v>
      </c>
      <c r="E104" s="18">
        <v>37.618948920000101</v>
      </c>
      <c r="F104" s="166">
        <f t="shared" si="4"/>
        <v>0.55838743096269672</v>
      </c>
      <c r="P104" s="18"/>
      <c r="R104" s="18"/>
    </row>
    <row r="105" spans="1:18" x14ac:dyDescent="0.25">
      <c r="A105" s="37" t="s">
        <v>40</v>
      </c>
      <c r="B105" s="18">
        <v>3.0900599999999998</v>
      </c>
      <c r="C105" s="162">
        <f t="shared" si="3"/>
        <v>5.7216083911507926E-2</v>
      </c>
      <c r="D105" s="21" t="s">
        <v>214</v>
      </c>
      <c r="E105" s="18">
        <v>37.421249289999999</v>
      </c>
      <c r="F105" s="166">
        <f t="shared" si="4"/>
        <v>0.55545292610099006</v>
      </c>
      <c r="P105" s="18"/>
      <c r="R105" s="18"/>
    </row>
    <row r="106" spans="1:18" x14ac:dyDescent="0.25">
      <c r="A106" s="37" t="s">
        <v>81</v>
      </c>
      <c r="B106" s="18">
        <v>2.89870655</v>
      </c>
      <c r="C106" s="162">
        <f t="shared" si="3"/>
        <v>5.3672950428029755E-2</v>
      </c>
      <c r="D106" s="21" t="s">
        <v>16</v>
      </c>
      <c r="E106" s="18">
        <v>36.272460450000004</v>
      </c>
      <c r="F106" s="166">
        <f t="shared" si="4"/>
        <v>0.53840116714700259</v>
      </c>
      <c r="P106" s="18"/>
      <c r="R106" s="18"/>
    </row>
    <row r="107" spans="1:18" x14ac:dyDescent="0.25">
      <c r="A107" s="37" t="s">
        <v>9</v>
      </c>
      <c r="B107" s="18">
        <v>2.6942309</v>
      </c>
      <c r="C107" s="162">
        <f t="shared" si="3"/>
        <v>4.9886844026128141E-2</v>
      </c>
      <c r="D107" s="21" t="s">
        <v>157</v>
      </c>
      <c r="E107" s="18">
        <v>35.654179040000002</v>
      </c>
      <c r="F107" s="166">
        <f t="shared" si="4"/>
        <v>0.52922386214371608</v>
      </c>
      <c r="P107" s="18"/>
      <c r="R107" s="18"/>
    </row>
    <row r="108" spans="1:18" x14ac:dyDescent="0.25">
      <c r="A108" s="37" t="s">
        <v>118</v>
      </c>
      <c r="B108" s="18">
        <v>2.5619787700000001</v>
      </c>
      <c r="C108" s="162">
        <f t="shared" si="3"/>
        <v>4.7438040777144093E-2</v>
      </c>
      <c r="D108" s="21" t="s">
        <v>74</v>
      </c>
      <c r="E108" s="18">
        <v>34.963894670000002</v>
      </c>
      <c r="F108" s="166">
        <f t="shared" si="4"/>
        <v>0.51897779926679499</v>
      </c>
      <c r="P108" s="18"/>
      <c r="R108" s="18"/>
    </row>
    <row r="109" spans="1:18" x14ac:dyDescent="0.25">
      <c r="A109" s="37" t="s">
        <v>131</v>
      </c>
      <c r="B109" s="18">
        <v>2.3390315400000001</v>
      </c>
      <c r="C109" s="162">
        <f t="shared" si="3"/>
        <v>4.3309911414116102E-2</v>
      </c>
      <c r="D109" s="21" t="s">
        <v>26</v>
      </c>
      <c r="E109" s="18">
        <v>34.640227450000005</v>
      </c>
      <c r="F109" s="166">
        <f t="shared" si="4"/>
        <v>0.51417352608396416</v>
      </c>
      <c r="P109" s="18"/>
      <c r="R109" s="18"/>
    </row>
    <row r="110" spans="1:18" x14ac:dyDescent="0.25">
      <c r="A110" s="37" t="s">
        <v>38</v>
      </c>
      <c r="B110" s="18">
        <v>2.308989</v>
      </c>
      <c r="C110" s="162">
        <f t="shared" si="3"/>
        <v>4.2753638561953092E-2</v>
      </c>
      <c r="D110" s="21" t="s">
        <v>82</v>
      </c>
      <c r="E110" s="18">
        <v>34.152897200000005</v>
      </c>
      <c r="F110" s="166">
        <f t="shared" si="4"/>
        <v>0.50693996177288803</v>
      </c>
      <c r="P110" s="18"/>
      <c r="R110" s="18"/>
    </row>
    <row r="111" spans="1:18" x14ac:dyDescent="0.25">
      <c r="A111" s="37" t="s">
        <v>171</v>
      </c>
      <c r="B111" s="18">
        <v>2.2353137000000003</v>
      </c>
      <c r="C111" s="162">
        <f t="shared" si="3"/>
        <v>4.1389454000162862E-2</v>
      </c>
      <c r="D111" s="21" t="s">
        <v>353</v>
      </c>
      <c r="E111" s="18">
        <v>34.146189999999997</v>
      </c>
      <c r="F111" s="166">
        <f t="shared" si="4"/>
        <v>0.50684040513229933</v>
      </c>
      <c r="P111" s="18"/>
      <c r="R111" s="18"/>
    </row>
    <row r="112" spans="1:18" x14ac:dyDescent="0.25">
      <c r="A112" s="37" t="s">
        <v>135</v>
      </c>
      <c r="B112" s="18">
        <v>2.06900336</v>
      </c>
      <c r="C112" s="162">
        <f t="shared" si="3"/>
        <v>3.8310023060701678E-2</v>
      </c>
      <c r="D112" s="21" t="s">
        <v>4</v>
      </c>
      <c r="E112" s="18">
        <v>33.665445729999995</v>
      </c>
      <c r="F112" s="166">
        <f t="shared" si="4"/>
        <v>0.49970459816315188</v>
      </c>
      <c r="P112" s="18"/>
      <c r="R112" s="18"/>
    </row>
    <row r="113" spans="1:18" x14ac:dyDescent="0.25">
      <c r="A113" s="37" t="s">
        <v>176</v>
      </c>
      <c r="B113" s="18">
        <v>1.65512769</v>
      </c>
      <c r="C113" s="162">
        <f t="shared" si="3"/>
        <v>3.0646629772658224E-2</v>
      </c>
      <c r="D113" s="21" t="s">
        <v>24</v>
      </c>
      <c r="E113" s="18">
        <v>33.594986320000004</v>
      </c>
      <c r="F113" s="166">
        <f t="shared" si="4"/>
        <v>0.49865875158671741</v>
      </c>
      <c r="P113" s="18"/>
      <c r="R113" s="18"/>
    </row>
    <row r="114" spans="1:18" x14ac:dyDescent="0.25">
      <c r="A114" s="37" t="s">
        <v>202</v>
      </c>
      <c r="B114" s="18">
        <v>1.6005357</v>
      </c>
      <c r="C114" s="162">
        <f t="shared" si="3"/>
        <v>2.9635795070181183E-2</v>
      </c>
      <c r="D114" s="21" t="s">
        <v>172</v>
      </c>
      <c r="E114" s="18">
        <v>32.828266880000001</v>
      </c>
      <c r="F114" s="166">
        <f t="shared" si="4"/>
        <v>0.48727814392324426</v>
      </c>
      <c r="P114" s="18"/>
      <c r="R114" s="18"/>
    </row>
    <row r="115" spans="1:18" x14ac:dyDescent="0.25">
      <c r="A115" s="37" t="s">
        <v>106</v>
      </c>
      <c r="B115" s="18">
        <v>1.5692196200000001</v>
      </c>
      <c r="C115" s="162">
        <f t="shared" si="3"/>
        <v>2.9055941131727079E-2</v>
      </c>
      <c r="D115" s="21" t="s">
        <v>132</v>
      </c>
      <c r="E115" s="18">
        <v>32.712165349999999</v>
      </c>
      <c r="F115" s="166">
        <f t="shared" si="4"/>
        <v>0.48555481998866529</v>
      </c>
      <c r="P115" s="18"/>
      <c r="R115" s="18"/>
    </row>
    <row r="116" spans="1:18" x14ac:dyDescent="0.25">
      <c r="A116" s="37" t="s">
        <v>20</v>
      </c>
      <c r="B116" s="18">
        <v>1.5622819999999999</v>
      </c>
      <c r="C116" s="162">
        <f t="shared" ref="C116:C179" si="5">(B116/$B$294)*100</f>
        <v>2.8927482963255861E-2</v>
      </c>
      <c r="D116" s="21" t="s">
        <v>156</v>
      </c>
      <c r="E116" s="18">
        <v>32.467898869999999</v>
      </c>
      <c r="F116" s="166">
        <f t="shared" ref="F116:F179" si="6">(E116/$E$294)*100</f>
        <v>0.48192911177104453</v>
      </c>
      <c r="P116" s="18"/>
      <c r="R116" s="18"/>
    </row>
    <row r="117" spans="1:18" x14ac:dyDescent="0.25">
      <c r="A117" s="37" t="s">
        <v>134</v>
      </c>
      <c r="B117" s="18">
        <v>1.5567417400000001</v>
      </c>
      <c r="C117" s="162">
        <f t="shared" si="5"/>
        <v>2.8824898553551338E-2</v>
      </c>
      <c r="D117" s="21" t="s">
        <v>124</v>
      </c>
      <c r="E117" s="18">
        <v>32.042047709999999</v>
      </c>
      <c r="F117" s="166">
        <f t="shared" si="6"/>
        <v>0.47560809690934369</v>
      </c>
      <c r="P117" s="18"/>
      <c r="R117" s="18"/>
    </row>
    <row r="118" spans="1:18" x14ac:dyDescent="0.25">
      <c r="A118" s="37" t="s">
        <v>4</v>
      </c>
      <c r="B118" s="18">
        <v>1.4913186599999999</v>
      </c>
      <c r="C118" s="162">
        <f t="shared" si="5"/>
        <v>2.7613513520565153E-2</v>
      </c>
      <c r="D118" s="21" t="s">
        <v>384</v>
      </c>
      <c r="E118" s="18">
        <v>30.517453149999998</v>
      </c>
      <c r="F118" s="166">
        <f t="shared" si="6"/>
        <v>0.45297816002757452</v>
      </c>
      <c r="P118" s="18"/>
      <c r="R118" s="18"/>
    </row>
    <row r="119" spans="1:18" x14ac:dyDescent="0.25">
      <c r="A119" s="37" t="s">
        <v>103</v>
      </c>
      <c r="B119" s="18">
        <v>1.35618368</v>
      </c>
      <c r="C119" s="162">
        <f t="shared" si="5"/>
        <v>2.5111330923767699E-2</v>
      </c>
      <c r="D119" s="21" t="s">
        <v>39</v>
      </c>
      <c r="E119" s="18">
        <v>29.657756930000001</v>
      </c>
      <c r="F119" s="166">
        <f t="shared" si="6"/>
        <v>0.44021747485492402</v>
      </c>
      <c r="P119" s="18"/>
      <c r="R119" s="18"/>
    </row>
    <row r="120" spans="1:18" x14ac:dyDescent="0.25">
      <c r="A120" s="37" t="s">
        <v>180</v>
      </c>
      <c r="B120" s="18">
        <v>1.3467977499999999</v>
      </c>
      <c r="C120" s="162">
        <f t="shared" si="5"/>
        <v>2.4937539425069436E-2</v>
      </c>
      <c r="D120" s="21" t="s">
        <v>146</v>
      </c>
      <c r="E120" s="18">
        <v>29.563081239999999</v>
      </c>
      <c r="F120" s="166">
        <f t="shared" si="6"/>
        <v>0.43881218000136107</v>
      </c>
      <c r="P120" s="18"/>
      <c r="R120" s="18"/>
    </row>
    <row r="121" spans="1:18" x14ac:dyDescent="0.25">
      <c r="A121" s="37" t="s">
        <v>142</v>
      </c>
      <c r="B121" s="18">
        <v>1.33339929</v>
      </c>
      <c r="C121" s="162">
        <f t="shared" si="5"/>
        <v>2.4689451228838623E-2</v>
      </c>
      <c r="D121" s="21" t="s">
        <v>103</v>
      </c>
      <c r="E121" s="18">
        <v>28.906248350000002</v>
      </c>
      <c r="F121" s="166">
        <f t="shared" si="6"/>
        <v>0.42906264577596681</v>
      </c>
      <c r="P121" s="18"/>
      <c r="R121" s="18"/>
    </row>
    <row r="122" spans="1:18" x14ac:dyDescent="0.25">
      <c r="A122" s="37" t="s">
        <v>90</v>
      </c>
      <c r="B122" s="18">
        <v>1.3300702499999999</v>
      </c>
      <c r="C122" s="162">
        <f t="shared" si="5"/>
        <v>2.4627810150029551E-2</v>
      </c>
      <c r="D122" s="21" t="s">
        <v>38</v>
      </c>
      <c r="E122" s="18">
        <v>28.603979260000003</v>
      </c>
      <c r="F122" s="166">
        <f t="shared" si="6"/>
        <v>0.42457599036771859</v>
      </c>
      <c r="P122" s="18"/>
      <c r="R122" s="18"/>
    </row>
    <row r="123" spans="1:18" x14ac:dyDescent="0.25">
      <c r="A123" s="37" t="s">
        <v>145</v>
      </c>
      <c r="B123" s="18">
        <v>1.30493788</v>
      </c>
      <c r="C123" s="162">
        <f t="shared" si="5"/>
        <v>2.4162454852457639E-2</v>
      </c>
      <c r="D123" s="21" t="s">
        <v>162</v>
      </c>
      <c r="E123" s="18">
        <v>27.4357242600001</v>
      </c>
      <c r="F123" s="166">
        <f t="shared" si="6"/>
        <v>0.40723529035117839</v>
      </c>
      <c r="P123" s="18"/>
      <c r="R123" s="18"/>
    </row>
    <row r="124" spans="1:18" x14ac:dyDescent="0.25">
      <c r="A124" s="37" t="s">
        <v>157</v>
      </c>
      <c r="B124" s="18">
        <v>1.2661188600000002</v>
      </c>
      <c r="C124" s="162">
        <f t="shared" si="5"/>
        <v>2.3443675182909962E-2</v>
      </c>
      <c r="D124" s="21" t="s">
        <v>387</v>
      </c>
      <c r="E124" s="18">
        <v>26.820407920000001</v>
      </c>
      <c r="F124" s="166">
        <f t="shared" si="6"/>
        <v>0.39810199662059897</v>
      </c>
      <c r="P124" s="18"/>
      <c r="R124" s="18"/>
    </row>
    <row r="125" spans="1:18" x14ac:dyDescent="0.25">
      <c r="A125" s="37" t="s">
        <v>79</v>
      </c>
      <c r="B125" s="18">
        <v>1.2581423200000001</v>
      </c>
      <c r="C125" s="162">
        <f t="shared" si="5"/>
        <v>2.329598019253324E-2</v>
      </c>
      <c r="D125" s="21" t="s">
        <v>116</v>
      </c>
      <c r="E125" s="18">
        <v>26.583006489999999</v>
      </c>
      <c r="F125" s="166">
        <f t="shared" si="6"/>
        <v>0.39457818805044259</v>
      </c>
      <c r="P125" s="18"/>
      <c r="R125" s="18"/>
    </row>
    <row r="126" spans="1:18" x14ac:dyDescent="0.25">
      <c r="A126" s="37" t="s">
        <v>173</v>
      </c>
      <c r="B126" s="18">
        <v>1.1061870600000001</v>
      </c>
      <c r="C126" s="162">
        <f t="shared" si="5"/>
        <v>2.0482350390213865E-2</v>
      </c>
      <c r="D126" s="21" t="s">
        <v>200</v>
      </c>
      <c r="E126" s="18">
        <v>25.4453472</v>
      </c>
      <c r="F126" s="166">
        <f t="shared" si="6"/>
        <v>0.37769162777984949</v>
      </c>
      <c r="P126" s="18"/>
      <c r="R126" s="18"/>
    </row>
    <row r="127" spans="1:18" x14ac:dyDescent="0.25">
      <c r="A127" s="37" t="s">
        <v>127</v>
      </c>
      <c r="B127" s="18">
        <v>1.0709305900000001</v>
      </c>
      <c r="C127" s="162">
        <f t="shared" si="5"/>
        <v>1.9829535510909397E-2</v>
      </c>
      <c r="D127" s="21" t="s">
        <v>90</v>
      </c>
      <c r="E127" s="18">
        <v>25.192421660000001</v>
      </c>
      <c r="F127" s="166">
        <f t="shared" si="6"/>
        <v>0.37393739097738615</v>
      </c>
      <c r="P127" s="18"/>
      <c r="R127" s="18"/>
    </row>
    <row r="128" spans="1:18" x14ac:dyDescent="0.25">
      <c r="A128" s="37" t="s">
        <v>119</v>
      </c>
      <c r="B128" s="18">
        <v>0.99509033999999996</v>
      </c>
      <c r="C128" s="162">
        <f t="shared" si="5"/>
        <v>1.842526436152403E-2</v>
      </c>
      <c r="D128" s="21" t="s">
        <v>158</v>
      </c>
      <c r="E128" s="18">
        <v>24.64288032</v>
      </c>
      <c r="F128" s="166">
        <f t="shared" si="6"/>
        <v>0.36578041195856892</v>
      </c>
      <c r="P128" s="18"/>
      <c r="R128" s="18"/>
    </row>
    <row r="129" spans="1:18" x14ac:dyDescent="0.25">
      <c r="A129" s="37" t="s">
        <v>105</v>
      </c>
      <c r="B129" s="18">
        <v>0.99000511999999996</v>
      </c>
      <c r="C129" s="162">
        <f t="shared" si="5"/>
        <v>1.8331105550941557E-2</v>
      </c>
      <c r="D129" s="21" t="s">
        <v>134</v>
      </c>
      <c r="E129" s="18">
        <v>24.423105710000002</v>
      </c>
      <c r="F129" s="166">
        <f t="shared" si="6"/>
        <v>0.36251824266910521</v>
      </c>
      <c r="P129" s="18"/>
      <c r="R129" s="18"/>
    </row>
    <row r="130" spans="1:18" x14ac:dyDescent="0.25">
      <c r="A130" s="37" t="s">
        <v>88</v>
      </c>
      <c r="B130" s="18">
        <v>0.98636710999999999</v>
      </c>
      <c r="C130" s="162">
        <f t="shared" si="5"/>
        <v>1.8263743530323541E-2</v>
      </c>
      <c r="D130" s="21" t="s">
        <v>193</v>
      </c>
      <c r="E130" s="18">
        <v>23.560876749999998</v>
      </c>
      <c r="F130" s="166">
        <f t="shared" si="6"/>
        <v>0.3497199634056441</v>
      </c>
      <c r="P130" s="18"/>
      <c r="R130" s="18"/>
    </row>
    <row r="131" spans="1:18" x14ac:dyDescent="0.25">
      <c r="A131" s="37" t="s">
        <v>132</v>
      </c>
      <c r="B131" s="18">
        <v>0.96307721000000002</v>
      </c>
      <c r="C131" s="162">
        <f t="shared" si="5"/>
        <v>1.7832503725047712E-2</v>
      </c>
      <c r="D131" s="21" t="s">
        <v>135</v>
      </c>
      <c r="E131" s="18">
        <v>23.311096249999899</v>
      </c>
      <c r="F131" s="166">
        <f t="shared" si="6"/>
        <v>0.34601240921543436</v>
      </c>
      <c r="P131" s="18"/>
      <c r="R131" s="18"/>
    </row>
    <row r="132" spans="1:18" x14ac:dyDescent="0.25">
      <c r="A132" s="37" t="s">
        <v>137</v>
      </c>
      <c r="B132" s="18">
        <v>0.91273974000000002</v>
      </c>
      <c r="C132" s="162">
        <f t="shared" si="5"/>
        <v>1.6900446448679936E-2</v>
      </c>
      <c r="D132" s="21" t="s">
        <v>104</v>
      </c>
      <c r="E132" s="18">
        <v>22.509564949999998</v>
      </c>
      <c r="F132" s="166">
        <f t="shared" si="6"/>
        <v>0.33411508044117966</v>
      </c>
      <c r="P132" s="18"/>
      <c r="R132" s="18"/>
    </row>
    <row r="133" spans="1:18" x14ac:dyDescent="0.25">
      <c r="A133" s="37" t="s">
        <v>163</v>
      </c>
      <c r="B133" s="18">
        <v>0.87903217</v>
      </c>
      <c r="C133" s="162">
        <f t="shared" si="5"/>
        <v>1.6276311268918695E-2</v>
      </c>
      <c r="D133" s="21" t="s">
        <v>101</v>
      </c>
      <c r="E133" s="18">
        <v>22.270249239999998</v>
      </c>
      <c r="F133" s="166">
        <f t="shared" si="6"/>
        <v>0.33056285773607186</v>
      </c>
      <c r="P133" s="18"/>
      <c r="R133" s="18"/>
    </row>
    <row r="134" spans="1:18" x14ac:dyDescent="0.25">
      <c r="A134" s="37" t="s">
        <v>83</v>
      </c>
      <c r="B134" s="18">
        <v>0.84511658999999995</v>
      </c>
      <c r="C134" s="162">
        <f t="shared" si="5"/>
        <v>1.5648324540121369E-2</v>
      </c>
      <c r="D134" s="21" t="s">
        <v>159</v>
      </c>
      <c r="E134" s="18">
        <v>21.766392309999997</v>
      </c>
      <c r="F134" s="166">
        <f t="shared" si="6"/>
        <v>0.32308398379640491</v>
      </c>
      <c r="P134" s="18"/>
      <c r="R134" s="18"/>
    </row>
    <row r="135" spans="1:18" x14ac:dyDescent="0.25">
      <c r="A135" s="37" t="s">
        <v>162</v>
      </c>
      <c r="B135" s="18">
        <v>0.80816308999999997</v>
      </c>
      <c r="C135" s="162">
        <f t="shared" si="5"/>
        <v>1.4964087160645271E-2</v>
      </c>
      <c r="D135" s="21" t="s">
        <v>19</v>
      </c>
      <c r="E135" s="18">
        <v>21.206210760000001</v>
      </c>
      <c r="F135" s="166">
        <f t="shared" si="6"/>
        <v>0.31476906948972422</v>
      </c>
      <c r="P135" s="18"/>
      <c r="R135" s="18"/>
    </row>
    <row r="136" spans="1:18" x14ac:dyDescent="0.25">
      <c r="A136" s="37" t="s">
        <v>60</v>
      </c>
      <c r="B136" s="18">
        <v>0.69590890000000005</v>
      </c>
      <c r="C136" s="162">
        <f t="shared" si="5"/>
        <v>1.2885569217803273E-2</v>
      </c>
      <c r="D136" s="21" t="s">
        <v>202</v>
      </c>
      <c r="E136" s="18">
        <v>21.04624613</v>
      </c>
      <c r="F136" s="166">
        <f t="shared" si="6"/>
        <v>0.31239467463407444</v>
      </c>
      <c r="P136" s="18"/>
      <c r="R136" s="18"/>
    </row>
    <row r="137" spans="1:18" x14ac:dyDescent="0.25">
      <c r="A137" s="37" t="s">
        <v>100</v>
      </c>
      <c r="B137" s="18">
        <v>0.68643667000000008</v>
      </c>
      <c r="C137" s="162">
        <f t="shared" si="5"/>
        <v>1.2710179773420607E-2</v>
      </c>
      <c r="D137" s="21" t="s">
        <v>92</v>
      </c>
      <c r="E137" s="18">
        <v>21.01534603</v>
      </c>
      <c r="F137" s="166">
        <f t="shared" si="6"/>
        <v>0.31193601675152216</v>
      </c>
      <c r="P137" s="18"/>
      <c r="R137" s="18"/>
    </row>
    <row r="138" spans="1:18" x14ac:dyDescent="0.25">
      <c r="A138" s="37" t="s">
        <v>76</v>
      </c>
      <c r="B138" s="18">
        <v>0.62323824999999999</v>
      </c>
      <c r="C138" s="162">
        <f t="shared" si="5"/>
        <v>1.1539986928687906E-2</v>
      </c>
      <c r="D138" s="21" t="s">
        <v>137</v>
      </c>
      <c r="E138" s="18">
        <v>21.00445457</v>
      </c>
      <c r="F138" s="166">
        <f t="shared" si="6"/>
        <v>0.3117743520973138</v>
      </c>
      <c r="P138" s="18"/>
      <c r="R138" s="18"/>
    </row>
    <row r="139" spans="1:18" x14ac:dyDescent="0.25">
      <c r="A139" s="37" t="s">
        <v>159</v>
      </c>
      <c r="B139" s="18">
        <v>0.60260792000000007</v>
      </c>
      <c r="C139" s="162">
        <f t="shared" si="5"/>
        <v>1.1157992180235742E-2</v>
      </c>
      <c r="D139" s="21" t="s">
        <v>168</v>
      </c>
      <c r="E139" s="18">
        <v>20.147170370000001</v>
      </c>
      <c r="F139" s="166">
        <f t="shared" si="6"/>
        <v>0.2990494691384385</v>
      </c>
      <c r="P139" s="18"/>
      <c r="R139" s="18"/>
    </row>
    <row r="140" spans="1:18" x14ac:dyDescent="0.25">
      <c r="A140" s="37" t="s">
        <v>33</v>
      </c>
      <c r="B140" s="18">
        <v>0.49875000000000003</v>
      </c>
      <c r="C140" s="162">
        <f t="shared" si="5"/>
        <v>9.2349410208425013E-3</v>
      </c>
      <c r="D140" s="21" t="s">
        <v>117</v>
      </c>
      <c r="E140" s="18">
        <v>19.672676070000001</v>
      </c>
      <c r="F140" s="166">
        <f t="shared" si="6"/>
        <v>0.29200643203107846</v>
      </c>
      <c r="P140" s="18"/>
      <c r="R140" s="18"/>
    </row>
    <row r="141" spans="1:18" x14ac:dyDescent="0.25">
      <c r="A141" s="37" t="s">
        <v>44</v>
      </c>
      <c r="B141" s="18">
        <v>0.48550859999999996</v>
      </c>
      <c r="C141" s="162">
        <f t="shared" si="5"/>
        <v>8.9897609746602755E-3</v>
      </c>
      <c r="D141" s="21" t="s">
        <v>160</v>
      </c>
      <c r="E141" s="18">
        <v>19.587510780000002</v>
      </c>
      <c r="F141" s="166">
        <f t="shared" si="6"/>
        <v>0.2907423024140755</v>
      </c>
      <c r="P141" s="18"/>
      <c r="R141" s="18"/>
    </row>
    <row r="142" spans="1:18" x14ac:dyDescent="0.25">
      <c r="A142" s="37" t="s">
        <v>166</v>
      </c>
      <c r="B142" s="18">
        <v>0.47220706000000001</v>
      </c>
      <c r="C142" s="162">
        <f t="shared" si="5"/>
        <v>8.7434673658655353E-3</v>
      </c>
      <c r="D142" s="21" t="s">
        <v>123</v>
      </c>
      <c r="E142" s="18">
        <v>19.279014920000002</v>
      </c>
      <c r="F142" s="166">
        <f t="shared" si="6"/>
        <v>0.28616322150741985</v>
      </c>
      <c r="P142" s="18"/>
      <c r="R142" s="18"/>
    </row>
    <row r="143" spans="1:18" x14ac:dyDescent="0.25">
      <c r="A143" s="37" t="s">
        <v>112</v>
      </c>
      <c r="B143" s="18">
        <v>0.47149118000000001</v>
      </c>
      <c r="C143" s="162">
        <f t="shared" si="5"/>
        <v>8.73021200831566E-3</v>
      </c>
      <c r="D143" s="21" t="s">
        <v>209</v>
      </c>
      <c r="E143" s="18">
        <v>18.813100850000001</v>
      </c>
      <c r="F143" s="166">
        <f t="shared" si="6"/>
        <v>0.27924754289157311</v>
      </c>
      <c r="P143" s="18"/>
      <c r="R143" s="18"/>
    </row>
    <row r="144" spans="1:18" x14ac:dyDescent="0.25">
      <c r="A144" s="37" t="s">
        <v>368</v>
      </c>
      <c r="B144" s="18">
        <v>0.4566133</v>
      </c>
      <c r="C144" s="162">
        <f t="shared" si="5"/>
        <v>8.454730616205039E-3</v>
      </c>
      <c r="D144" s="21" t="s">
        <v>58</v>
      </c>
      <c r="E144" s="18">
        <v>18.276371409999999</v>
      </c>
      <c r="F144" s="166">
        <f t="shared" si="6"/>
        <v>0.2712807340963303</v>
      </c>
      <c r="P144" s="18"/>
      <c r="R144" s="18"/>
    </row>
    <row r="145" spans="1:18" x14ac:dyDescent="0.25">
      <c r="A145" s="37" t="s">
        <v>181</v>
      </c>
      <c r="B145" s="18">
        <v>0.43129624</v>
      </c>
      <c r="C145" s="162">
        <f t="shared" si="5"/>
        <v>7.9859555667391117E-3</v>
      </c>
      <c r="D145" s="21" t="s">
        <v>194</v>
      </c>
      <c r="E145" s="18">
        <v>17.06911538</v>
      </c>
      <c r="F145" s="166">
        <f t="shared" si="6"/>
        <v>0.25336113207503275</v>
      </c>
      <c r="P145" s="18"/>
      <c r="R145" s="18"/>
    </row>
    <row r="146" spans="1:18" x14ac:dyDescent="0.25">
      <c r="A146" s="37" t="s">
        <v>144</v>
      </c>
      <c r="B146" s="18">
        <v>0.43106354999999996</v>
      </c>
      <c r="C146" s="162">
        <f t="shared" si="5"/>
        <v>7.9816470385663998E-3</v>
      </c>
      <c r="D146" s="21" t="s">
        <v>115</v>
      </c>
      <c r="E146" s="18">
        <v>16.275385249999999</v>
      </c>
      <c r="F146" s="166">
        <f t="shared" si="6"/>
        <v>0.24157959801061984</v>
      </c>
      <c r="P146" s="18"/>
      <c r="R146" s="18"/>
    </row>
    <row r="147" spans="1:18" x14ac:dyDescent="0.25">
      <c r="A147" s="37" t="s">
        <v>126</v>
      </c>
      <c r="B147" s="18">
        <v>0.42510734999999999</v>
      </c>
      <c r="C147" s="162">
        <f t="shared" si="5"/>
        <v>7.8713610120835081E-3</v>
      </c>
      <c r="D147" s="21" t="s">
        <v>112</v>
      </c>
      <c r="E147" s="18">
        <v>15.81613054</v>
      </c>
      <c r="F147" s="166">
        <f t="shared" si="6"/>
        <v>0.23476276593432333</v>
      </c>
      <c r="P147" s="18"/>
      <c r="R147" s="18"/>
    </row>
    <row r="148" spans="1:18" x14ac:dyDescent="0.25">
      <c r="A148" s="37" t="s">
        <v>69</v>
      </c>
      <c r="B148" s="18">
        <v>0.40548600000000001</v>
      </c>
      <c r="C148" s="162">
        <f t="shared" si="5"/>
        <v>7.5080487113330175E-3</v>
      </c>
      <c r="D148" s="21" t="s">
        <v>93</v>
      </c>
      <c r="E148" s="18">
        <v>15.09203707</v>
      </c>
      <c r="F148" s="166">
        <f t="shared" si="6"/>
        <v>0.22401486616312039</v>
      </c>
      <c r="P148" s="18"/>
      <c r="R148" s="18"/>
    </row>
    <row r="149" spans="1:18" x14ac:dyDescent="0.25">
      <c r="A149" s="37" t="s">
        <v>5</v>
      </c>
      <c r="B149" s="18">
        <v>0.38279871999999998</v>
      </c>
      <c r="C149" s="162">
        <f t="shared" si="5"/>
        <v>7.0879671219127869E-3</v>
      </c>
      <c r="D149" s="21" t="s">
        <v>23</v>
      </c>
      <c r="E149" s="18">
        <v>15.011829240000001</v>
      </c>
      <c r="F149" s="166">
        <f t="shared" si="6"/>
        <v>0.22282432135996719</v>
      </c>
      <c r="P149" s="18"/>
      <c r="R149" s="18"/>
    </row>
    <row r="150" spans="1:18" x14ac:dyDescent="0.25">
      <c r="A150" s="37" t="s">
        <v>102</v>
      </c>
      <c r="B150" s="18">
        <v>0.37828871000000003</v>
      </c>
      <c r="C150" s="162">
        <f t="shared" si="5"/>
        <v>7.0044589988984308E-3</v>
      </c>
      <c r="D150" s="21" t="s">
        <v>102</v>
      </c>
      <c r="E150" s="18">
        <v>14.884692680000001</v>
      </c>
      <c r="F150" s="166">
        <f t="shared" si="6"/>
        <v>0.22093720172590178</v>
      </c>
      <c r="P150" s="18"/>
      <c r="R150" s="18"/>
    </row>
    <row r="151" spans="1:18" x14ac:dyDescent="0.25">
      <c r="A151" s="37" t="s">
        <v>29</v>
      </c>
      <c r="B151" s="18">
        <v>0.36529925000000002</v>
      </c>
      <c r="C151" s="162">
        <f t="shared" si="5"/>
        <v>6.763943917209022E-3</v>
      </c>
      <c r="D151" s="21" t="s">
        <v>166</v>
      </c>
      <c r="E151" s="18">
        <v>14.829672480000001</v>
      </c>
      <c r="F151" s="166">
        <f t="shared" si="6"/>
        <v>0.22012052318992281</v>
      </c>
      <c r="P151" s="18"/>
      <c r="R151" s="18"/>
    </row>
    <row r="152" spans="1:18" x14ac:dyDescent="0.25">
      <c r="A152" s="37" t="s">
        <v>26</v>
      </c>
      <c r="B152" s="18">
        <v>0.33753358</v>
      </c>
      <c r="C152" s="162">
        <f t="shared" si="5"/>
        <v>6.2498299826643086E-3</v>
      </c>
      <c r="D152" s="21" t="s">
        <v>63</v>
      </c>
      <c r="E152" s="18">
        <v>14.458306179999999</v>
      </c>
      <c r="F152" s="166">
        <f t="shared" si="6"/>
        <v>0.21460824067920981</v>
      </c>
      <c r="P152" s="18"/>
      <c r="R152" s="18"/>
    </row>
    <row r="153" spans="1:18" x14ac:dyDescent="0.25">
      <c r="A153" s="37" t="s">
        <v>168</v>
      </c>
      <c r="B153" s="18">
        <v>0.32222658000000004</v>
      </c>
      <c r="C153" s="162">
        <f t="shared" si="5"/>
        <v>5.9664029306221314E-3</v>
      </c>
      <c r="D153" s="21" t="s">
        <v>118</v>
      </c>
      <c r="E153" s="18">
        <v>14.01025909</v>
      </c>
      <c r="F153" s="166">
        <f t="shared" si="6"/>
        <v>0.20795776609876765</v>
      </c>
      <c r="P153" s="18"/>
      <c r="R153" s="18"/>
    </row>
    <row r="154" spans="1:18" x14ac:dyDescent="0.25">
      <c r="A154" s="37" t="s">
        <v>153</v>
      </c>
      <c r="B154" s="18">
        <v>0.31825398999999999</v>
      </c>
      <c r="C154" s="162">
        <f t="shared" si="5"/>
        <v>5.8928457690181433E-3</v>
      </c>
      <c r="D154" s="21" t="s">
        <v>100</v>
      </c>
      <c r="E154" s="18">
        <v>13.69802986</v>
      </c>
      <c r="F154" s="166">
        <f t="shared" si="6"/>
        <v>0.20332326985109417</v>
      </c>
      <c r="P154" s="18"/>
      <c r="R154" s="18"/>
    </row>
    <row r="155" spans="1:18" x14ac:dyDescent="0.25">
      <c r="A155" s="37" t="s">
        <v>174</v>
      </c>
      <c r="B155" s="18">
        <v>0.31591987999999999</v>
      </c>
      <c r="C155" s="162">
        <f t="shared" si="5"/>
        <v>5.8496269856874988E-3</v>
      </c>
      <c r="D155" s="21" t="s">
        <v>163</v>
      </c>
      <c r="E155" s="18">
        <v>13.69047078</v>
      </c>
      <c r="F155" s="166">
        <f t="shared" si="6"/>
        <v>0.20321106854343357</v>
      </c>
      <c r="P155" s="18"/>
      <c r="R155" s="18"/>
    </row>
    <row r="156" spans="1:18" x14ac:dyDescent="0.25">
      <c r="A156" s="37" t="s">
        <v>207</v>
      </c>
      <c r="B156" s="18">
        <v>0.30447239000000004</v>
      </c>
      <c r="C156" s="162">
        <f t="shared" si="5"/>
        <v>5.6376632864660776E-3</v>
      </c>
      <c r="D156" s="21" t="s">
        <v>142</v>
      </c>
      <c r="E156" s="18">
        <v>13.688943650000001</v>
      </c>
      <c r="F156" s="166">
        <f t="shared" si="6"/>
        <v>0.20318840097238422</v>
      </c>
      <c r="P156" s="18"/>
      <c r="R156" s="18"/>
    </row>
    <row r="157" spans="1:18" x14ac:dyDescent="0.25">
      <c r="A157" s="37" t="s">
        <v>116</v>
      </c>
      <c r="B157" s="18">
        <v>0.30308757000000003</v>
      </c>
      <c r="C157" s="162">
        <f t="shared" si="5"/>
        <v>5.6120217205022013E-3</v>
      </c>
      <c r="D157" s="21" t="s">
        <v>197</v>
      </c>
      <c r="E157" s="18">
        <v>13.60812408</v>
      </c>
      <c r="F157" s="166">
        <f t="shared" si="6"/>
        <v>0.201988775960006</v>
      </c>
      <c r="P157" s="18"/>
      <c r="R157" s="18"/>
    </row>
    <row r="158" spans="1:18" x14ac:dyDescent="0.25">
      <c r="A158" s="37" t="s">
        <v>37</v>
      </c>
      <c r="B158" s="18">
        <v>0.26379893999999998</v>
      </c>
      <c r="C158" s="162">
        <f t="shared" si="5"/>
        <v>4.8845466711995378E-3</v>
      </c>
      <c r="D158" s="21" t="s">
        <v>8</v>
      </c>
      <c r="E158" s="18">
        <v>13.53292177</v>
      </c>
      <c r="F158" s="166">
        <f t="shared" si="6"/>
        <v>0.20087252933725588</v>
      </c>
      <c r="P158" s="18"/>
      <c r="R158" s="18"/>
    </row>
    <row r="159" spans="1:18" x14ac:dyDescent="0.25">
      <c r="A159" s="37" t="s">
        <v>161</v>
      </c>
      <c r="B159" s="18">
        <v>0.26305703999999996</v>
      </c>
      <c r="C159" s="162">
        <f t="shared" si="5"/>
        <v>4.8708095228419167E-3</v>
      </c>
      <c r="D159" s="21" t="s">
        <v>75</v>
      </c>
      <c r="E159" s="18">
        <v>13.17086699</v>
      </c>
      <c r="F159" s="166">
        <f t="shared" si="6"/>
        <v>0.19549846003771512</v>
      </c>
      <c r="P159" s="18"/>
      <c r="R159" s="18"/>
    </row>
    <row r="160" spans="1:18" x14ac:dyDescent="0.25">
      <c r="A160" s="37" t="s">
        <v>358</v>
      </c>
      <c r="B160" s="18">
        <v>0.26021729999999998</v>
      </c>
      <c r="C160" s="162">
        <f t="shared" si="5"/>
        <v>4.8182284072238171E-3</v>
      </c>
      <c r="D160" s="21" t="s">
        <v>48</v>
      </c>
      <c r="E160" s="18">
        <v>12.86665298</v>
      </c>
      <c r="F160" s="166">
        <f t="shared" si="6"/>
        <v>0.19098293569736202</v>
      </c>
      <c r="P160" s="18"/>
      <c r="R160" s="18"/>
    </row>
    <row r="161" spans="1:18" x14ac:dyDescent="0.25">
      <c r="A161" s="37" t="s">
        <v>172</v>
      </c>
      <c r="B161" s="18">
        <v>0.25893639000000002</v>
      </c>
      <c r="C161" s="162">
        <f t="shared" si="5"/>
        <v>4.7945108567415979E-3</v>
      </c>
      <c r="D161" s="21" t="s">
        <v>165</v>
      </c>
      <c r="E161" s="18">
        <v>12.79799585</v>
      </c>
      <c r="F161" s="166">
        <f t="shared" si="6"/>
        <v>0.18996384081197595</v>
      </c>
      <c r="P161" s="18"/>
      <c r="R161" s="18"/>
    </row>
    <row r="162" spans="1:18" x14ac:dyDescent="0.25">
      <c r="A162" s="37" t="s">
        <v>129</v>
      </c>
      <c r="B162" s="18">
        <v>0.25751964999999999</v>
      </c>
      <c r="C162" s="162">
        <f t="shared" si="5"/>
        <v>4.7682782545523869E-3</v>
      </c>
      <c r="D162" s="21" t="s">
        <v>11</v>
      </c>
      <c r="E162" s="18">
        <v>12.49772832</v>
      </c>
      <c r="F162" s="166">
        <f t="shared" si="6"/>
        <v>0.18550689505746354</v>
      </c>
      <c r="P162" s="18"/>
      <c r="R162" s="18"/>
    </row>
    <row r="163" spans="1:18" x14ac:dyDescent="0.25">
      <c r="A163" s="37" t="s">
        <v>64</v>
      </c>
      <c r="B163" s="18">
        <v>0.230375</v>
      </c>
      <c r="C163" s="162">
        <f t="shared" si="5"/>
        <v>4.2656632334367745E-3</v>
      </c>
      <c r="D163" s="21" t="s">
        <v>210</v>
      </c>
      <c r="E163" s="18">
        <v>12.283861659999999</v>
      </c>
      <c r="F163" s="166">
        <f t="shared" si="6"/>
        <v>0.1823324189417185</v>
      </c>
      <c r="P163" s="18"/>
      <c r="R163" s="18"/>
    </row>
    <row r="164" spans="1:18" x14ac:dyDescent="0.25">
      <c r="A164" s="37" t="s">
        <v>89</v>
      </c>
      <c r="B164" s="18">
        <v>0.22932162</v>
      </c>
      <c r="C164" s="162">
        <f t="shared" si="5"/>
        <v>4.2461586676773048E-3</v>
      </c>
      <c r="D164" s="21" t="s">
        <v>360</v>
      </c>
      <c r="E164" s="18">
        <v>12.19865227</v>
      </c>
      <c r="F164" s="166">
        <f t="shared" si="6"/>
        <v>0.18106763473742876</v>
      </c>
      <c r="P164" s="18"/>
      <c r="R164" s="18"/>
    </row>
    <row r="165" spans="1:18" x14ac:dyDescent="0.25">
      <c r="A165" s="37" t="s">
        <v>133</v>
      </c>
      <c r="B165" s="18">
        <v>0.22230961999999999</v>
      </c>
      <c r="C165" s="162">
        <f t="shared" si="5"/>
        <v>4.1163232662975602E-3</v>
      </c>
      <c r="D165" s="21" t="s">
        <v>86</v>
      </c>
      <c r="E165" s="18">
        <v>12.01681065</v>
      </c>
      <c r="F165" s="166">
        <f t="shared" si="6"/>
        <v>0.17836851426891637</v>
      </c>
      <c r="P165" s="18"/>
      <c r="R165" s="18"/>
    </row>
    <row r="166" spans="1:18" x14ac:dyDescent="0.25">
      <c r="A166" s="37" t="s">
        <v>155</v>
      </c>
      <c r="B166" s="18">
        <v>0.18468377</v>
      </c>
      <c r="C166" s="162">
        <f t="shared" si="5"/>
        <v>3.419636538259331E-3</v>
      </c>
      <c r="D166" s="21" t="s">
        <v>188</v>
      </c>
      <c r="E166" s="18">
        <v>11.747290420000001</v>
      </c>
      <c r="F166" s="166">
        <f t="shared" si="6"/>
        <v>0.17436795834848862</v>
      </c>
      <c r="P166" s="18"/>
      <c r="R166" s="18"/>
    </row>
    <row r="167" spans="1:18" x14ac:dyDescent="0.25">
      <c r="A167" s="37" t="s">
        <v>160</v>
      </c>
      <c r="B167" s="18">
        <v>0.17880151</v>
      </c>
      <c r="C167" s="162">
        <f t="shared" si="5"/>
        <v>3.3107195975690834E-3</v>
      </c>
      <c r="D167" s="21" t="s">
        <v>190</v>
      </c>
      <c r="E167" s="18">
        <v>11.56815834</v>
      </c>
      <c r="F167" s="166">
        <f t="shared" si="6"/>
        <v>0.17170905625723359</v>
      </c>
      <c r="P167" s="18"/>
      <c r="R167" s="18"/>
    </row>
    <row r="168" spans="1:18" x14ac:dyDescent="0.25">
      <c r="A168" s="37" t="s">
        <v>353</v>
      </c>
      <c r="B168" s="18">
        <v>0.17791057000000002</v>
      </c>
      <c r="C168" s="162">
        <f t="shared" si="5"/>
        <v>3.2942227988661077E-3</v>
      </c>
      <c r="D168" s="21" t="s">
        <v>95</v>
      </c>
      <c r="E168" s="18">
        <v>10.5702564</v>
      </c>
      <c r="F168" s="166">
        <f t="shared" si="6"/>
        <v>0.15689694915093835</v>
      </c>
      <c r="P168" s="18"/>
      <c r="R168" s="18"/>
    </row>
    <row r="169" spans="1:18" x14ac:dyDescent="0.25">
      <c r="A169" s="37" t="s">
        <v>205</v>
      </c>
      <c r="B169" s="18">
        <v>0.17352508999999999</v>
      </c>
      <c r="C169" s="162">
        <f t="shared" si="5"/>
        <v>3.2130204948097982E-3</v>
      </c>
      <c r="D169" s="21" t="s">
        <v>64</v>
      </c>
      <c r="E169" s="18">
        <v>10.43426086</v>
      </c>
      <c r="F169" s="166">
        <f t="shared" si="6"/>
        <v>0.15487833346966365</v>
      </c>
      <c r="P169" s="18"/>
      <c r="R169" s="18"/>
    </row>
    <row r="170" spans="1:18" x14ac:dyDescent="0.25">
      <c r="A170" s="37" t="s">
        <v>209</v>
      </c>
      <c r="B170" s="18">
        <v>0.17217078</v>
      </c>
      <c r="C170" s="162">
        <f t="shared" si="5"/>
        <v>3.1879438572680694E-3</v>
      </c>
      <c r="D170" s="21" t="s">
        <v>126</v>
      </c>
      <c r="E170" s="18">
        <v>10.058053109999999</v>
      </c>
      <c r="F170" s="166">
        <f t="shared" si="6"/>
        <v>0.14929418811043291</v>
      </c>
      <c r="P170" s="18"/>
      <c r="R170" s="18"/>
    </row>
    <row r="171" spans="1:18" x14ac:dyDescent="0.25">
      <c r="A171" s="37" t="s">
        <v>197</v>
      </c>
      <c r="B171" s="18">
        <v>0.17181257</v>
      </c>
      <c r="C171" s="162">
        <f t="shared" si="5"/>
        <v>3.181311179126563E-3</v>
      </c>
      <c r="D171" s="21" t="s">
        <v>196</v>
      </c>
      <c r="E171" s="18">
        <v>9.8478031699999899</v>
      </c>
      <c r="F171" s="166">
        <f t="shared" si="6"/>
        <v>0.14617339587069411</v>
      </c>
      <c r="P171" s="18"/>
      <c r="R171" s="18"/>
    </row>
    <row r="172" spans="1:18" x14ac:dyDescent="0.25">
      <c r="A172" s="37" t="s">
        <v>150</v>
      </c>
      <c r="B172" s="18">
        <v>0.15059723999999999</v>
      </c>
      <c r="C172" s="162">
        <f t="shared" si="5"/>
        <v>2.7884844697777704E-3</v>
      </c>
      <c r="D172" s="21" t="s">
        <v>150</v>
      </c>
      <c r="E172" s="18">
        <v>9.816046179999999</v>
      </c>
      <c r="F172" s="166">
        <f t="shared" si="6"/>
        <v>0.14570201895639187</v>
      </c>
      <c r="P172" s="18"/>
      <c r="R172" s="18"/>
    </row>
    <row r="173" spans="1:18" x14ac:dyDescent="0.25">
      <c r="A173" s="37" t="s">
        <v>124</v>
      </c>
      <c r="B173" s="18">
        <v>0.14968836999999999</v>
      </c>
      <c r="C173" s="162">
        <f t="shared" si="5"/>
        <v>2.7716556761023556E-3</v>
      </c>
      <c r="D173" s="21" t="s">
        <v>144</v>
      </c>
      <c r="E173" s="18">
        <v>9.5935609999999993</v>
      </c>
      <c r="F173" s="166">
        <f t="shared" si="6"/>
        <v>0.14239961600112416</v>
      </c>
      <c r="P173" s="18"/>
      <c r="R173" s="18"/>
    </row>
    <row r="174" spans="1:18" x14ac:dyDescent="0.25">
      <c r="A174" s="37" t="s">
        <v>185</v>
      </c>
      <c r="B174" s="18">
        <v>0.14875231999999999</v>
      </c>
      <c r="C174" s="162">
        <f t="shared" si="5"/>
        <v>2.7543236128591284E-3</v>
      </c>
      <c r="D174" s="21" t="s">
        <v>94</v>
      </c>
      <c r="E174" s="18">
        <v>9.4196411400000013</v>
      </c>
      <c r="F174" s="166">
        <f t="shared" si="6"/>
        <v>0.13981808018986819</v>
      </c>
      <c r="P174" s="18"/>
      <c r="R174" s="18"/>
    </row>
    <row r="175" spans="1:18" x14ac:dyDescent="0.25">
      <c r="A175" s="37" t="s">
        <v>42</v>
      </c>
      <c r="B175" s="18">
        <v>0.13899</v>
      </c>
      <c r="C175" s="162">
        <f t="shared" si="5"/>
        <v>2.5735628120038077E-3</v>
      </c>
      <c r="D175" s="21" t="s">
        <v>204</v>
      </c>
      <c r="E175" s="18">
        <v>9.2351648000000015</v>
      </c>
      <c r="F175" s="166">
        <f t="shared" si="6"/>
        <v>0.13707985191599856</v>
      </c>
      <c r="P175" s="18"/>
      <c r="R175" s="18"/>
    </row>
    <row r="176" spans="1:18" x14ac:dyDescent="0.25">
      <c r="A176" s="37" t="s">
        <v>120</v>
      </c>
      <c r="B176" s="18">
        <v>0.11760435000000001</v>
      </c>
      <c r="C176" s="162">
        <f t="shared" si="5"/>
        <v>2.1775824281594362E-3</v>
      </c>
      <c r="D176" s="21" t="s">
        <v>67</v>
      </c>
      <c r="E176" s="18">
        <v>8.7708213699999984</v>
      </c>
      <c r="F176" s="166">
        <f t="shared" si="6"/>
        <v>0.13018748670097097</v>
      </c>
      <c r="P176" s="18"/>
      <c r="R176" s="18"/>
    </row>
    <row r="177" spans="1:18" x14ac:dyDescent="0.25">
      <c r="A177" s="37" t="s">
        <v>82</v>
      </c>
      <c r="B177" s="18">
        <v>0.111495</v>
      </c>
      <c r="C177" s="162">
        <f t="shared" si="5"/>
        <v>2.0644606498623251E-3</v>
      </c>
      <c r="D177" s="21" t="s">
        <v>177</v>
      </c>
      <c r="E177" s="18">
        <v>8.7640109299999995</v>
      </c>
      <c r="F177" s="166">
        <f t="shared" si="6"/>
        <v>0.13008639764334173</v>
      </c>
      <c r="P177" s="18"/>
      <c r="R177" s="18"/>
    </row>
    <row r="178" spans="1:18" x14ac:dyDescent="0.25">
      <c r="A178" s="37" t="s">
        <v>188</v>
      </c>
      <c r="B178" s="18">
        <v>0.10932422</v>
      </c>
      <c r="C178" s="162">
        <f t="shared" si="5"/>
        <v>2.0242661129816742E-3</v>
      </c>
      <c r="D178" s="21" t="s">
        <v>88</v>
      </c>
      <c r="E178" s="18">
        <v>8.7607113900000009</v>
      </c>
      <c r="F178" s="166">
        <f t="shared" si="6"/>
        <v>0.13003742174909555</v>
      </c>
      <c r="P178" s="18"/>
      <c r="R178" s="18"/>
    </row>
    <row r="179" spans="1:18" x14ac:dyDescent="0.25">
      <c r="A179" s="37" t="s">
        <v>93</v>
      </c>
      <c r="B179" s="18">
        <v>0.10925201</v>
      </c>
      <c r="C179" s="162">
        <f t="shared" si="5"/>
        <v>2.0229290601674085E-3</v>
      </c>
      <c r="D179" s="21" t="s">
        <v>25</v>
      </c>
      <c r="E179" s="18">
        <v>8.4584610799999993</v>
      </c>
      <c r="F179" s="166">
        <f t="shared" si="6"/>
        <v>0.12555104509706605</v>
      </c>
      <c r="P179" s="18"/>
      <c r="R179" s="18"/>
    </row>
    <row r="180" spans="1:18" x14ac:dyDescent="0.25">
      <c r="A180" s="37" t="s">
        <v>143</v>
      </c>
      <c r="B180" s="18">
        <v>0.10615833</v>
      </c>
      <c r="C180" s="162">
        <f t="shared" ref="C180:C243" si="7">(B180/$B$294)*100</f>
        <v>1.9656459477115488E-3</v>
      </c>
      <c r="D180" s="21" t="s">
        <v>140</v>
      </c>
      <c r="E180" s="18">
        <v>7.52848396</v>
      </c>
      <c r="F180" s="166">
        <f t="shared" ref="F180:F243" si="8">(E180/$E$294)*100</f>
        <v>0.11174716301638388</v>
      </c>
      <c r="P180" s="18"/>
      <c r="R180" s="18"/>
    </row>
    <row r="181" spans="1:18" x14ac:dyDescent="0.25">
      <c r="A181" s="37" t="s">
        <v>165</v>
      </c>
      <c r="B181" s="18">
        <v>9.9470490000000009E-2</v>
      </c>
      <c r="C181" s="162">
        <f t="shared" si="7"/>
        <v>1.8418127488006092E-3</v>
      </c>
      <c r="D181" s="21" t="s">
        <v>6</v>
      </c>
      <c r="E181" s="18">
        <v>7.2121470800000003</v>
      </c>
      <c r="F181" s="166">
        <f t="shared" si="8"/>
        <v>0.10705169589640688</v>
      </c>
      <c r="P181" s="18"/>
      <c r="R181" s="18"/>
    </row>
    <row r="182" spans="1:18" x14ac:dyDescent="0.25">
      <c r="A182" s="37" t="s">
        <v>75</v>
      </c>
      <c r="B182" s="18">
        <v>9.8735530000000002E-2</v>
      </c>
      <c r="C182" s="162">
        <f t="shared" si="7"/>
        <v>1.8282041026799506E-3</v>
      </c>
      <c r="D182" s="21" t="s">
        <v>181</v>
      </c>
      <c r="E182" s="18">
        <v>7.16545963</v>
      </c>
      <c r="F182" s="166">
        <f t="shared" si="8"/>
        <v>0.10635870244464568</v>
      </c>
      <c r="P182" s="18"/>
      <c r="R182" s="18"/>
    </row>
    <row r="183" spans="1:18" x14ac:dyDescent="0.25">
      <c r="A183" s="37" t="s">
        <v>196</v>
      </c>
      <c r="B183" s="18">
        <v>9.869406E-2</v>
      </c>
      <c r="C183" s="162">
        <f t="shared" si="7"/>
        <v>1.8274362370075009E-3</v>
      </c>
      <c r="D183" s="21" t="s">
        <v>111</v>
      </c>
      <c r="E183" s="18">
        <v>6.6872308</v>
      </c>
      <c r="F183" s="166">
        <f t="shared" si="8"/>
        <v>9.9260232778098811E-2</v>
      </c>
      <c r="P183" s="18"/>
      <c r="R183" s="18"/>
    </row>
    <row r="184" spans="1:18" x14ac:dyDescent="0.25">
      <c r="A184" s="37" t="s">
        <v>6</v>
      </c>
      <c r="B184" s="18">
        <v>9.8659639999999993E-2</v>
      </c>
      <c r="C184" s="162">
        <f t="shared" si="7"/>
        <v>1.8267989103509844E-3</v>
      </c>
      <c r="D184" s="21" t="s">
        <v>147</v>
      </c>
      <c r="E184" s="18">
        <v>6.3761731600000005</v>
      </c>
      <c r="F184" s="166">
        <f t="shared" si="8"/>
        <v>9.4643126732677746E-2</v>
      </c>
      <c r="P184" s="18"/>
      <c r="R184" s="18"/>
    </row>
    <row r="185" spans="1:18" x14ac:dyDescent="0.25">
      <c r="A185" s="37" t="s">
        <v>198</v>
      </c>
      <c r="B185" s="18">
        <v>9.6552280000000004E-2</v>
      </c>
      <c r="C185" s="162">
        <f t="shared" si="7"/>
        <v>1.7877786691285634E-3</v>
      </c>
      <c r="D185" s="21" t="s">
        <v>2</v>
      </c>
      <c r="E185" s="18">
        <v>6.2497326799999993</v>
      </c>
      <c r="F185" s="166">
        <f t="shared" si="8"/>
        <v>9.2766339187469238E-2</v>
      </c>
      <c r="P185" s="18"/>
      <c r="R185" s="18"/>
    </row>
    <row r="186" spans="1:18" x14ac:dyDescent="0.25">
      <c r="A186" s="37" t="s">
        <v>31</v>
      </c>
      <c r="B186" s="18">
        <v>9.5663750000000006E-2</v>
      </c>
      <c r="C186" s="162">
        <f t="shared" si="7"/>
        <v>1.7713264944012467E-3</v>
      </c>
      <c r="D186" s="21" t="s">
        <v>129</v>
      </c>
      <c r="E186" s="18">
        <v>5.7784849800000009</v>
      </c>
      <c r="F186" s="166">
        <f t="shared" si="8"/>
        <v>8.5771492172746266E-2</v>
      </c>
      <c r="P186" s="18"/>
      <c r="R186" s="18"/>
    </row>
    <row r="187" spans="1:18" x14ac:dyDescent="0.25">
      <c r="A187" s="37" t="s">
        <v>195</v>
      </c>
      <c r="B187" s="18">
        <v>9.1213219999999998E-2</v>
      </c>
      <c r="C187" s="162">
        <f t="shared" si="7"/>
        <v>1.6889197133255771E-3</v>
      </c>
      <c r="D187" s="21" t="s">
        <v>938</v>
      </c>
      <c r="E187" s="18">
        <v>5.6285318600000007</v>
      </c>
      <c r="F187" s="166">
        <f t="shared" si="8"/>
        <v>8.3545700654229796E-2</v>
      </c>
      <c r="P187" s="18"/>
      <c r="R187" s="18"/>
    </row>
    <row r="188" spans="1:18" x14ac:dyDescent="0.25">
      <c r="A188" s="37" t="s">
        <v>66</v>
      </c>
      <c r="B188" s="18">
        <v>8.695217999999999E-2</v>
      </c>
      <c r="C188" s="162">
        <f t="shared" si="7"/>
        <v>1.6100215617717909E-3</v>
      </c>
      <c r="D188" s="21" t="s">
        <v>187</v>
      </c>
      <c r="E188" s="18">
        <v>5.2127807000000006</v>
      </c>
      <c r="F188" s="166">
        <f t="shared" si="8"/>
        <v>7.7374602608778056E-2</v>
      </c>
      <c r="P188" s="18"/>
      <c r="R188" s="18"/>
    </row>
    <row r="189" spans="1:18" x14ac:dyDescent="0.25">
      <c r="A189" s="37" t="s">
        <v>204</v>
      </c>
      <c r="B189" s="18">
        <v>8.4744449999999999E-2</v>
      </c>
      <c r="C189" s="162">
        <f t="shared" si="7"/>
        <v>1.569142852318268E-3</v>
      </c>
      <c r="D189" s="21" t="s">
        <v>0</v>
      </c>
      <c r="E189" s="18">
        <v>4.9646452699999992</v>
      </c>
      <c r="F189" s="166">
        <f t="shared" si="8"/>
        <v>7.3691466602421915E-2</v>
      </c>
      <c r="P189" s="18"/>
      <c r="R189" s="18"/>
    </row>
    <row r="190" spans="1:18" x14ac:dyDescent="0.25">
      <c r="A190" s="37" t="s">
        <v>164</v>
      </c>
      <c r="B190" s="18">
        <v>7.7777079999999998E-2</v>
      </c>
      <c r="C190" s="162">
        <f t="shared" si="7"/>
        <v>1.4401338277159877E-3</v>
      </c>
      <c r="D190" s="21" t="s">
        <v>383</v>
      </c>
      <c r="E190" s="18">
        <v>4.9012805899999998</v>
      </c>
      <c r="F190" s="166">
        <f t="shared" si="8"/>
        <v>7.2750928870912834E-2</v>
      </c>
      <c r="P190" s="18"/>
      <c r="R190" s="18"/>
    </row>
    <row r="191" spans="1:18" x14ac:dyDescent="0.25">
      <c r="A191" s="37" t="s">
        <v>24</v>
      </c>
      <c r="B191" s="18">
        <v>7.5554690000000008E-2</v>
      </c>
      <c r="C191" s="162">
        <f t="shared" si="7"/>
        <v>1.3989836711740125E-3</v>
      </c>
      <c r="D191" s="21" t="s">
        <v>212</v>
      </c>
      <c r="E191" s="18">
        <v>4.7383183400000002</v>
      </c>
      <c r="F191" s="166">
        <f t="shared" si="8"/>
        <v>7.0332039594795323E-2</v>
      </c>
      <c r="P191" s="18"/>
      <c r="R191" s="18"/>
    </row>
    <row r="192" spans="1:18" x14ac:dyDescent="0.25">
      <c r="A192" s="37" t="s">
        <v>191</v>
      </c>
      <c r="B192" s="18">
        <v>7.5048359999999995E-2</v>
      </c>
      <c r="C192" s="162">
        <f t="shared" si="7"/>
        <v>1.3896083775658255E-3</v>
      </c>
      <c r="D192" s="21" t="s">
        <v>356</v>
      </c>
      <c r="E192" s="18">
        <v>4.5647967999999999</v>
      </c>
      <c r="F192" s="166">
        <f t="shared" si="8"/>
        <v>6.775641614653416E-2</v>
      </c>
      <c r="P192" s="18"/>
      <c r="R192" s="18"/>
    </row>
    <row r="193" spans="1:18" x14ac:dyDescent="0.25">
      <c r="A193" s="37" t="s">
        <v>206</v>
      </c>
      <c r="B193" s="18">
        <v>7.1923000000000001E-2</v>
      </c>
      <c r="C193" s="162">
        <f t="shared" si="7"/>
        <v>1.3317386727660255E-3</v>
      </c>
      <c r="D193" s="21" t="s">
        <v>109</v>
      </c>
      <c r="E193" s="18">
        <v>4.5239014000000006</v>
      </c>
      <c r="F193" s="166">
        <f t="shared" si="8"/>
        <v>6.7149395535917075E-2</v>
      </c>
      <c r="P193" s="18"/>
      <c r="R193" s="18"/>
    </row>
    <row r="194" spans="1:18" x14ac:dyDescent="0.25">
      <c r="A194" s="37" t="s">
        <v>107</v>
      </c>
      <c r="B194" s="18">
        <v>6.7739399999999991E-2</v>
      </c>
      <c r="C194" s="162">
        <f t="shared" si="7"/>
        <v>1.2542744136085379E-3</v>
      </c>
      <c r="D194" s="21" t="s">
        <v>378</v>
      </c>
      <c r="E194" s="18">
        <v>4.4236089500000002</v>
      </c>
      <c r="F194" s="166">
        <f t="shared" si="8"/>
        <v>6.5660729714350718E-2</v>
      </c>
      <c r="P194" s="18"/>
      <c r="R194" s="18"/>
    </row>
    <row r="195" spans="1:18" x14ac:dyDescent="0.25">
      <c r="A195" s="37" t="s">
        <v>147</v>
      </c>
      <c r="B195" s="18">
        <v>6.4887699999999993E-2</v>
      </c>
      <c r="C195" s="162">
        <f t="shared" si="7"/>
        <v>1.2014718445676629E-3</v>
      </c>
      <c r="D195" s="21" t="s">
        <v>201</v>
      </c>
      <c r="E195" s="18">
        <v>4.2997099099999998</v>
      </c>
      <c r="F195" s="166">
        <f t="shared" si="8"/>
        <v>6.3821665396220251E-2</v>
      </c>
      <c r="P195" s="18"/>
      <c r="R195" s="18"/>
    </row>
    <row r="196" spans="1:18" x14ac:dyDescent="0.25">
      <c r="A196" s="37" t="s">
        <v>193</v>
      </c>
      <c r="B196" s="18">
        <v>6.3233349999999994E-2</v>
      </c>
      <c r="C196" s="162">
        <f t="shared" si="7"/>
        <v>1.170839614637175E-3</v>
      </c>
      <c r="D196" s="21" t="s">
        <v>382</v>
      </c>
      <c r="E196" s="18">
        <v>4.0574683799999995</v>
      </c>
      <c r="F196" s="166">
        <f t="shared" si="8"/>
        <v>6.02260140159325E-2</v>
      </c>
      <c r="P196" s="18"/>
      <c r="R196" s="18"/>
    </row>
    <row r="197" spans="1:18" x14ac:dyDescent="0.25">
      <c r="A197" s="37" t="s">
        <v>114</v>
      </c>
      <c r="B197" s="18">
        <v>6.2136769999999994E-2</v>
      </c>
      <c r="C197" s="162">
        <f t="shared" si="7"/>
        <v>1.1505351502268783E-3</v>
      </c>
      <c r="D197" s="21" t="s">
        <v>215</v>
      </c>
      <c r="E197" s="18">
        <v>3.9949103399999997</v>
      </c>
      <c r="F197" s="166">
        <f t="shared" si="8"/>
        <v>5.9297449442904507E-2</v>
      </c>
      <c r="P197" s="18"/>
      <c r="R197" s="18"/>
    </row>
    <row r="198" spans="1:18" x14ac:dyDescent="0.25">
      <c r="A198" s="37" t="s">
        <v>136</v>
      </c>
      <c r="B198" s="18">
        <v>5.7843279999999997E-2</v>
      </c>
      <c r="C198" s="162">
        <f t="shared" si="7"/>
        <v>1.0710361488763479E-3</v>
      </c>
      <c r="D198" s="21" t="s">
        <v>87</v>
      </c>
      <c r="E198" s="18">
        <v>3.8871056800000003</v>
      </c>
      <c r="F198" s="166">
        <f t="shared" si="8"/>
        <v>5.7697278016764449E-2</v>
      </c>
      <c r="P198" s="18"/>
      <c r="R198" s="18"/>
    </row>
    <row r="199" spans="1:18" x14ac:dyDescent="0.25">
      <c r="A199" s="37" t="s">
        <v>22</v>
      </c>
      <c r="B199" s="18">
        <v>4.8304279999999998E-2</v>
      </c>
      <c r="C199" s="162">
        <f t="shared" si="7"/>
        <v>8.9441037965766815E-4</v>
      </c>
      <c r="D199" s="21" t="s">
        <v>213</v>
      </c>
      <c r="E199" s="18">
        <v>3.7033164199999997</v>
      </c>
      <c r="F199" s="166">
        <f t="shared" si="8"/>
        <v>5.4969248242509518E-2</v>
      </c>
      <c r="P199" s="18"/>
      <c r="R199" s="18"/>
    </row>
    <row r="200" spans="1:18" x14ac:dyDescent="0.25">
      <c r="A200" s="37" t="s">
        <v>23</v>
      </c>
      <c r="B200" s="18">
        <v>4.6896E-2</v>
      </c>
      <c r="C200" s="162">
        <f t="shared" si="7"/>
        <v>8.6833442428757871E-4</v>
      </c>
      <c r="D200" s="21" t="s">
        <v>136</v>
      </c>
      <c r="E200" s="18">
        <v>3.5137612099999997</v>
      </c>
      <c r="F200" s="166">
        <f t="shared" si="8"/>
        <v>5.2155633035912877E-2</v>
      </c>
      <c r="P200" s="18"/>
      <c r="R200" s="18"/>
    </row>
    <row r="201" spans="1:18" x14ac:dyDescent="0.25">
      <c r="A201" s="37" t="s">
        <v>190</v>
      </c>
      <c r="B201" s="18">
        <v>4.5941889999999999E-2</v>
      </c>
      <c r="C201" s="162">
        <f t="shared" si="7"/>
        <v>8.5066795896949143E-4</v>
      </c>
      <c r="D201" s="21" t="s">
        <v>59</v>
      </c>
      <c r="E201" s="18">
        <v>3.4368077499999998</v>
      </c>
      <c r="F201" s="166">
        <f t="shared" si="8"/>
        <v>5.1013393657442486E-2</v>
      </c>
      <c r="P201" s="18"/>
      <c r="R201" s="18"/>
    </row>
    <row r="202" spans="1:18" x14ac:dyDescent="0.25">
      <c r="A202" s="37" t="s">
        <v>74</v>
      </c>
      <c r="B202" s="18">
        <v>4.529126E-2</v>
      </c>
      <c r="C202" s="162">
        <f t="shared" si="7"/>
        <v>8.3862078167346997E-4</v>
      </c>
      <c r="D202" s="21" t="s">
        <v>97</v>
      </c>
      <c r="E202" s="18">
        <v>3.3605935200000001</v>
      </c>
      <c r="F202" s="166">
        <f t="shared" si="8"/>
        <v>4.9882126854029103E-2</v>
      </c>
      <c r="P202" s="18"/>
      <c r="R202" s="18"/>
    </row>
    <row r="203" spans="1:18" x14ac:dyDescent="0.25">
      <c r="A203" s="37" t="s">
        <v>169</v>
      </c>
      <c r="B203" s="18">
        <v>4.4057589999999994E-2</v>
      </c>
      <c r="C203" s="162">
        <f t="shared" si="7"/>
        <v>8.1577793517886778E-4</v>
      </c>
      <c r="D203" s="21" t="s">
        <v>114</v>
      </c>
      <c r="E203" s="18">
        <v>3.27949242</v>
      </c>
      <c r="F203" s="166">
        <f t="shared" si="8"/>
        <v>4.8678323021722328E-2</v>
      </c>
      <c r="P203" s="18"/>
      <c r="R203" s="18"/>
    </row>
    <row r="204" spans="1:18" x14ac:dyDescent="0.25">
      <c r="A204" s="37" t="s">
        <v>94</v>
      </c>
      <c r="B204" s="18">
        <v>4.3815400000000004E-2</v>
      </c>
      <c r="C204" s="162">
        <f t="shared" si="7"/>
        <v>8.1129350336766411E-4</v>
      </c>
      <c r="D204" s="21" t="s">
        <v>45</v>
      </c>
      <c r="E204" s="18">
        <v>3.11346458</v>
      </c>
      <c r="F204" s="166">
        <f t="shared" si="8"/>
        <v>4.6213930429493427E-2</v>
      </c>
      <c r="P204" s="18"/>
      <c r="R204" s="18"/>
    </row>
    <row r="205" spans="1:18" x14ac:dyDescent="0.25">
      <c r="A205" s="37" t="s">
        <v>14</v>
      </c>
      <c r="B205" s="18">
        <v>4.3520179999999999E-2</v>
      </c>
      <c r="C205" s="162">
        <f t="shared" si="7"/>
        <v>8.0582715893022419E-4</v>
      </c>
      <c r="D205" s="21" t="s">
        <v>110</v>
      </c>
      <c r="E205" s="18">
        <v>3.01187805</v>
      </c>
      <c r="F205" s="166">
        <f t="shared" si="8"/>
        <v>4.4706056256088297E-2</v>
      </c>
      <c r="P205" s="18"/>
      <c r="R205" s="18"/>
    </row>
    <row r="206" spans="1:18" x14ac:dyDescent="0.25">
      <c r="A206" s="37" t="s">
        <v>211</v>
      </c>
      <c r="B206" s="18">
        <v>3.9750000000000001E-2</v>
      </c>
      <c r="C206" s="162">
        <f t="shared" si="7"/>
        <v>7.3601785579646998E-4</v>
      </c>
      <c r="D206" s="21" t="s">
        <v>373</v>
      </c>
      <c r="E206" s="18">
        <v>2.8336277700000001</v>
      </c>
      <c r="F206" s="166">
        <f t="shared" si="8"/>
        <v>4.2060242941919262E-2</v>
      </c>
      <c r="P206" s="18"/>
      <c r="R206" s="18"/>
    </row>
    <row r="207" spans="1:18" x14ac:dyDescent="0.25">
      <c r="A207" s="37" t="s">
        <v>95</v>
      </c>
      <c r="B207" s="18">
        <v>3.8770329999999999E-2</v>
      </c>
      <c r="C207" s="162">
        <f t="shared" si="7"/>
        <v>7.1787811710997615E-4</v>
      </c>
      <c r="D207" s="21" t="s">
        <v>386</v>
      </c>
      <c r="E207" s="18">
        <v>2.7728740299999997</v>
      </c>
      <c r="F207" s="166">
        <f t="shared" si="8"/>
        <v>4.1158460043302966E-2</v>
      </c>
      <c r="P207" s="18"/>
      <c r="R207" s="18"/>
    </row>
    <row r="208" spans="1:18" x14ac:dyDescent="0.25">
      <c r="A208" s="37" t="s">
        <v>187</v>
      </c>
      <c r="B208" s="18">
        <v>3.7501619999999999E-2</v>
      </c>
      <c r="C208" s="162">
        <f t="shared" si="7"/>
        <v>6.9438646393192485E-4</v>
      </c>
      <c r="D208" s="21" t="s">
        <v>120</v>
      </c>
      <c r="E208" s="18">
        <v>2.6738863199999998</v>
      </c>
      <c r="F208" s="166">
        <f t="shared" si="8"/>
        <v>3.9689160802611152E-2</v>
      </c>
      <c r="P208" s="18"/>
      <c r="R208" s="18"/>
    </row>
    <row r="209" spans="1:18" x14ac:dyDescent="0.25">
      <c r="A209" s="37" t="s">
        <v>12</v>
      </c>
      <c r="B209" s="18">
        <v>3.5711660000000006E-2</v>
      </c>
      <c r="C209" s="162">
        <f t="shared" si="7"/>
        <v>6.6124325585239163E-4</v>
      </c>
      <c r="D209" s="21" t="s">
        <v>185</v>
      </c>
      <c r="E209" s="18">
        <v>2.6646951200000002</v>
      </c>
      <c r="F209" s="166">
        <f t="shared" si="8"/>
        <v>3.9552733531174666E-2</v>
      </c>
      <c r="P209" s="18"/>
      <c r="R209" s="18"/>
    </row>
    <row r="210" spans="1:18" x14ac:dyDescent="0.25">
      <c r="A210" s="37" t="s">
        <v>167</v>
      </c>
      <c r="B210" s="18">
        <v>3.3097000000000001E-2</v>
      </c>
      <c r="C210" s="162">
        <f t="shared" si="7"/>
        <v>6.1282976033448467E-4</v>
      </c>
      <c r="D210" s="21" t="s">
        <v>73</v>
      </c>
      <c r="E210" s="18">
        <v>2.4408188100000001</v>
      </c>
      <c r="F210" s="166">
        <f t="shared" si="8"/>
        <v>3.6229681686739776E-2</v>
      </c>
      <c r="P210" s="18"/>
      <c r="R210" s="18"/>
    </row>
    <row r="211" spans="1:18" x14ac:dyDescent="0.25">
      <c r="A211" s="37" t="s">
        <v>213</v>
      </c>
      <c r="B211" s="18">
        <v>2.95413E-2</v>
      </c>
      <c r="C211" s="162">
        <f t="shared" si="7"/>
        <v>5.4699180587271083E-4</v>
      </c>
      <c r="D211" s="21" t="s">
        <v>359</v>
      </c>
      <c r="E211" s="18">
        <v>2.40973317</v>
      </c>
      <c r="F211" s="166">
        <f t="shared" si="8"/>
        <v>3.576826978774323E-2</v>
      </c>
      <c r="P211" s="18"/>
      <c r="R211" s="18"/>
    </row>
    <row r="212" spans="1:18" x14ac:dyDescent="0.25">
      <c r="A212" s="37" t="s">
        <v>210</v>
      </c>
      <c r="B212" s="18">
        <v>2.836371E-2</v>
      </c>
      <c r="C212" s="162">
        <f t="shared" si="7"/>
        <v>5.2518734633038731E-4</v>
      </c>
      <c r="D212" s="21" t="s">
        <v>164</v>
      </c>
      <c r="E212" s="18">
        <v>2.3190528800000001</v>
      </c>
      <c r="F212" s="166">
        <f t="shared" si="8"/>
        <v>3.4422279651768632E-2</v>
      </c>
      <c r="P212" s="18"/>
      <c r="R212" s="18"/>
    </row>
    <row r="213" spans="1:18" x14ac:dyDescent="0.25">
      <c r="A213" s="37" t="s">
        <v>68</v>
      </c>
      <c r="B213" s="18">
        <v>2.5998959999999998E-2</v>
      </c>
      <c r="C213" s="162">
        <f t="shared" si="7"/>
        <v>4.8140122747517456E-4</v>
      </c>
      <c r="D213" s="21" t="s">
        <v>57</v>
      </c>
      <c r="E213" s="18">
        <v>2.2624430499999999</v>
      </c>
      <c r="F213" s="166">
        <f t="shared" si="8"/>
        <v>3.3582005841669448E-2</v>
      </c>
      <c r="P213" s="18"/>
      <c r="R213" s="18"/>
    </row>
    <row r="214" spans="1:18" x14ac:dyDescent="0.25">
      <c r="A214" s="37" t="s">
        <v>21</v>
      </c>
      <c r="B214" s="18">
        <v>2.5323990000000001E-2</v>
      </c>
      <c r="C214" s="162">
        <f t="shared" si="7"/>
        <v>4.6890336654116342E-4</v>
      </c>
      <c r="D214" s="21" t="s">
        <v>175</v>
      </c>
      <c r="E214" s="18">
        <v>2.1936961400000001</v>
      </c>
      <c r="F214" s="166">
        <f t="shared" si="8"/>
        <v>3.2561578329376166E-2</v>
      </c>
      <c r="P214" s="18"/>
      <c r="R214" s="18"/>
    </row>
    <row r="215" spans="1:18" x14ac:dyDescent="0.25">
      <c r="A215" s="37" t="s">
        <v>110</v>
      </c>
      <c r="B215" s="18">
        <v>2.403599E-2</v>
      </c>
      <c r="C215" s="162">
        <f t="shared" si="7"/>
        <v>4.4505453639611059E-4</v>
      </c>
      <c r="D215" s="21" t="s">
        <v>155</v>
      </c>
      <c r="E215" s="18">
        <v>2.1698327000000002</v>
      </c>
      <c r="F215" s="166">
        <f t="shared" si="8"/>
        <v>3.2207367344272111E-2</v>
      </c>
      <c r="P215" s="18"/>
      <c r="R215" s="18"/>
    </row>
    <row r="216" spans="1:18" x14ac:dyDescent="0.25">
      <c r="A216" s="37" t="s">
        <v>32</v>
      </c>
      <c r="B216" s="18">
        <v>2.3546999999999998E-2</v>
      </c>
      <c r="C216" s="162">
        <f t="shared" si="7"/>
        <v>4.3600031321860321E-4</v>
      </c>
      <c r="D216" s="21" t="s">
        <v>205</v>
      </c>
      <c r="E216" s="18">
        <v>2.0400034300000001</v>
      </c>
      <c r="F216" s="166">
        <f t="shared" si="8"/>
        <v>3.0280279144832271E-2</v>
      </c>
      <c r="P216" s="18"/>
      <c r="R216" s="18"/>
    </row>
    <row r="217" spans="1:18" x14ac:dyDescent="0.25">
      <c r="A217" s="37" t="s">
        <v>25</v>
      </c>
      <c r="B217" s="18">
        <v>1.775699E-2</v>
      </c>
      <c r="C217" s="162">
        <f t="shared" si="7"/>
        <v>3.2879148943897756E-4</v>
      </c>
      <c r="D217" s="21" t="s">
        <v>36</v>
      </c>
      <c r="E217" s="18">
        <v>1.92862168</v>
      </c>
      <c r="F217" s="166">
        <f t="shared" si="8"/>
        <v>2.8627012080648991E-2</v>
      </c>
      <c r="P217" s="18"/>
      <c r="R217" s="18"/>
    </row>
    <row r="218" spans="1:18" x14ac:dyDescent="0.25">
      <c r="A218" s="37" t="s">
        <v>935</v>
      </c>
      <c r="B218" s="18">
        <v>1.7414229999999999E-2</v>
      </c>
      <c r="C218" s="162">
        <f t="shared" si="7"/>
        <v>3.2244488616217762E-4</v>
      </c>
      <c r="D218" s="21" t="s">
        <v>161</v>
      </c>
      <c r="E218" s="18">
        <v>1.8899518899999999</v>
      </c>
      <c r="F218" s="166">
        <f t="shared" si="8"/>
        <v>2.8053026753736061E-2</v>
      </c>
      <c r="P218" s="18"/>
      <c r="R218" s="18"/>
    </row>
    <row r="219" spans="1:18" x14ac:dyDescent="0.25">
      <c r="A219" s="37" t="s">
        <v>57</v>
      </c>
      <c r="B219" s="18">
        <v>1.562E-2</v>
      </c>
      <c r="C219" s="162">
        <f t="shared" si="7"/>
        <v>2.8922261402618515E-4</v>
      </c>
      <c r="D219" s="21" t="s">
        <v>372</v>
      </c>
      <c r="E219" s="18">
        <v>1.8889041000000002</v>
      </c>
      <c r="F219" s="166">
        <f t="shared" si="8"/>
        <v>2.8037474145726396E-2</v>
      </c>
      <c r="P219" s="18"/>
      <c r="R219" s="18"/>
    </row>
    <row r="220" spans="1:18" x14ac:dyDescent="0.25">
      <c r="A220" s="37" t="s">
        <v>199</v>
      </c>
      <c r="B220" s="18">
        <v>1.5461299999999999E-2</v>
      </c>
      <c r="C220" s="162">
        <f t="shared" si="7"/>
        <v>2.8628409745474115E-4</v>
      </c>
      <c r="D220" s="21" t="s">
        <v>153</v>
      </c>
      <c r="E220" s="18">
        <v>1.87188972</v>
      </c>
      <c r="F220" s="166">
        <f t="shared" si="8"/>
        <v>2.7784925464533122E-2</v>
      </c>
      <c r="P220" s="18"/>
      <c r="R220" s="18"/>
    </row>
    <row r="221" spans="1:18" x14ac:dyDescent="0.25">
      <c r="A221" s="37" t="s">
        <v>17</v>
      </c>
      <c r="B221" s="18">
        <v>1.4259809999999999E-2</v>
      </c>
      <c r="C221" s="162">
        <f t="shared" si="7"/>
        <v>2.6403710139031596E-4</v>
      </c>
      <c r="D221" s="21" t="s">
        <v>183</v>
      </c>
      <c r="E221" s="18">
        <v>1.8573765200000001</v>
      </c>
      <c r="F221" s="166">
        <f t="shared" si="8"/>
        <v>2.7569502421207762E-2</v>
      </c>
      <c r="P221" s="18"/>
      <c r="R221" s="18"/>
    </row>
    <row r="222" spans="1:18" x14ac:dyDescent="0.25">
      <c r="A222" s="37" t="s">
        <v>51</v>
      </c>
      <c r="B222" s="18">
        <v>1.3612000000000001E-2</v>
      </c>
      <c r="C222" s="162">
        <f t="shared" si="7"/>
        <v>2.5204213970066793E-4</v>
      </c>
      <c r="D222" s="21" t="s">
        <v>33</v>
      </c>
      <c r="E222" s="18">
        <v>1.68812495</v>
      </c>
      <c r="F222" s="166">
        <f t="shared" si="8"/>
        <v>2.5057259201449491E-2</v>
      </c>
      <c r="P222" s="18"/>
      <c r="R222" s="18"/>
    </row>
    <row r="223" spans="1:18" x14ac:dyDescent="0.25">
      <c r="A223" s="37" t="s">
        <v>39</v>
      </c>
      <c r="B223" s="18">
        <v>1.15695E-2</v>
      </c>
      <c r="C223" s="162">
        <f t="shared" si="7"/>
        <v>2.1422285742483672E-4</v>
      </c>
      <c r="D223" s="21" t="s">
        <v>108</v>
      </c>
      <c r="E223" s="18">
        <v>1.6774103</v>
      </c>
      <c r="F223" s="166">
        <f t="shared" si="8"/>
        <v>2.4898218982120458E-2</v>
      </c>
      <c r="P223" s="18"/>
      <c r="R223" s="18"/>
    </row>
    <row r="224" spans="1:18" x14ac:dyDescent="0.25">
      <c r="A224" s="37" t="s">
        <v>67</v>
      </c>
      <c r="B224" s="18">
        <v>1.0999999999999999E-2</v>
      </c>
      <c r="C224" s="162">
        <f t="shared" si="7"/>
        <v>2.0367789720153885E-4</v>
      </c>
      <c r="D224" s="21" t="s">
        <v>71</v>
      </c>
      <c r="E224" s="18">
        <v>1.6436416100000002</v>
      </c>
      <c r="F224" s="166">
        <f t="shared" si="8"/>
        <v>2.4396981903536084E-2</v>
      </c>
      <c r="P224" s="18"/>
      <c r="R224" s="18"/>
    </row>
    <row r="225" spans="1:18" x14ac:dyDescent="0.25">
      <c r="A225" s="37" t="s">
        <v>130</v>
      </c>
      <c r="B225" s="18">
        <v>1.0808999999999999E-2</v>
      </c>
      <c r="C225" s="162">
        <f t="shared" si="7"/>
        <v>2.0014130825922122E-4</v>
      </c>
      <c r="D225" s="21" t="s">
        <v>169</v>
      </c>
      <c r="E225" s="18">
        <v>1.6433283799999998</v>
      </c>
      <c r="F225" s="166">
        <f t="shared" si="8"/>
        <v>2.4392332552609971E-2</v>
      </c>
      <c r="P225" s="18"/>
      <c r="R225" s="18"/>
    </row>
    <row r="226" spans="1:18" x14ac:dyDescent="0.25">
      <c r="A226" s="37" t="s">
        <v>192</v>
      </c>
      <c r="B226" s="18">
        <v>9.9985000000000004E-3</v>
      </c>
      <c r="C226" s="162">
        <f t="shared" si="7"/>
        <v>1.851339504699624E-4</v>
      </c>
      <c r="D226" s="21" t="s">
        <v>10</v>
      </c>
      <c r="E226" s="18">
        <v>1.6173450700000001</v>
      </c>
      <c r="F226" s="166">
        <f t="shared" si="8"/>
        <v>2.4006655808965129E-2</v>
      </c>
      <c r="P226" s="18"/>
      <c r="R226" s="18"/>
    </row>
    <row r="227" spans="1:18" x14ac:dyDescent="0.25">
      <c r="A227" s="37" t="s">
        <v>170</v>
      </c>
      <c r="B227" s="18">
        <v>8.6630000000000006E-3</v>
      </c>
      <c r="C227" s="162">
        <f t="shared" si="7"/>
        <v>1.6040560213244828E-4</v>
      </c>
      <c r="D227" s="21" t="s">
        <v>107</v>
      </c>
      <c r="E227" s="18">
        <v>1.57458828</v>
      </c>
      <c r="F227" s="166">
        <f t="shared" si="8"/>
        <v>2.3372006122843288E-2</v>
      </c>
      <c r="P227" s="18"/>
      <c r="R227" s="18"/>
    </row>
    <row r="228" spans="1:18" x14ac:dyDescent="0.25">
      <c r="A228" s="37" t="s">
        <v>108</v>
      </c>
      <c r="B228" s="18">
        <v>5.9659999999999999E-3</v>
      </c>
      <c r="C228" s="162">
        <f t="shared" si="7"/>
        <v>1.1046748497312553E-4</v>
      </c>
      <c r="D228" s="21" t="s">
        <v>186</v>
      </c>
      <c r="E228" s="18">
        <v>1.5378349</v>
      </c>
      <c r="F228" s="166">
        <f t="shared" si="8"/>
        <v>2.2826466547002433E-2</v>
      </c>
      <c r="P228" s="18"/>
      <c r="R228" s="18"/>
    </row>
    <row r="229" spans="1:18" x14ac:dyDescent="0.25">
      <c r="A229" s="37" t="s">
        <v>19</v>
      </c>
      <c r="B229" s="18">
        <v>4.8621800000000007E-3</v>
      </c>
      <c r="C229" s="162">
        <f t="shared" si="7"/>
        <v>9.0028963474125297E-5</v>
      </c>
      <c r="D229" s="21" t="s">
        <v>68</v>
      </c>
      <c r="E229" s="18">
        <v>1.5066876999999999</v>
      </c>
      <c r="F229" s="166">
        <f t="shared" si="8"/>
        <v>2.2364140897589226E-2</v>
      </c>
      <c r="P229" s="18"/>
      <c r="R229" s="18"/>
    </row>
    <row r="230" spans="1:18" x14ac:dyDescent="0.25">
      <c r="A230" s="37" t="s">
        <v>92</v>
      </c>
      <c r="B230" s="18">
        <v>4.4021800000000003E-3</v>
      </c>
      <c r="C230" s="162">
        <f t="shared" si="7"/>
        <v>8.1511524136606404E-5</v>
      </c>
      <c r="D230" s="21" t="s">
        <v>381</v>
      </c>
      <c r="E230" s="18">
        <v>1.4905317499999999</v>
      </c>
      <c r="F230" s="166">
        <f t="shared" si="8"/>
        <v>2.2124334106749684E-2</v>
      </c>
      <c r="P230" s="18"/>
      <c r="R230" s="18"/>
    </row>
    <row r="231" spans="1:18" x14ac:dyDescent="0.25">
      <c r="A231" s="37" t="s">
        <v>367</v>
      </c>
      <c r="B231" s="18">
        <v>4.2040000000000003E-3</v>
      </c>
      <c r="C231" s="162">
        <f t="shared" si="7"/>
        <v>7.7841989075933584E-5</v>
      </c>
      <c r="D231" s="21" t="s">
        <v>184</v>
      </c>
      <c r="E231" s="18">
        <v>1.3063423600000001</v>
      </c>
      <c r="F231" s="166">
        <f t="shared" si="8"/>
        <v>1.9390365103218954E-2</v>
      </c>
      <c r="P231" s="18"/>
      <c r="R231" s="18"/>
    </row>
    <row r="232" spans="1:18" x14ac:dyDescent="0.25">
      <c r="A232" s="37" t="s">
        <v>154</v>
      </c>
      <c r="B232" s="18">
        <v>3.8899999999999998E-3</v>
      </c>
      <c r="C232" s="162">
        <f t="shared" si="7"/>
        <v>7.2027910919453278E-5</v>
      </c>
      <c r="D232" s="21" t="s">
        <v>149</v>
      </c>
      <c r="E232" s="18">
        <v>1.3061956399999999</v>
      </c>
      <c r="F232" s="166">
        <f t="shared" si="8"/>
        <v>1.9388187301706074E-2</v>
      </c>
      <c r="P232" s="18"/>
      <c r="R232" s="18"/>
    </row>
    <row r="233" spans="1:18" x14ac:dyDescent="0.25">
      <c r="A233" s="37" t="s">
        <v>43</v>
      </c>
      <c r="B233" s="18">
        <v>3.4426399999999998E-3</v>
      </c>
      <c r="C233" s="162">
        <f t="shared" si="7"/>
        <v>6.3744516001991425E-5</v>
      </c>
      <c r="D233" s="21" t="s">
        <v>351</v>
      </c>
      <c r="E233" s="18">
        <v>1.30554039</v>
      </c>
      <c r="F233" s="166">
        <f t="shared" si="8"/>
        <v>1.9378461262711304E-2</v>
      </c>
      <c r="P233" s="18"/>
      <c r="R233" s="18"/>
    </row>
    <row r="234" spans="1:18" x14ac:dyDescent="0.25">
      <c r="A234" s="37" t="s">
        <v>149</v>
      </c>
      <c r="B234" s="18">
        <v>3.24727E-3</v>
      </c>
      <c r="C234" s="162">
        <f t="shared" si="7"/>
        <v>6.0127011385967373E-5</v>
      </c>
      <c r="D234" s="21" t="s">
        <v>44</v>
      </c>
      <c r="E234" s="18">
        <v>1.25313878</v>
      </c>
      <c r="F234" s="166">
        <f t="shared" si="8"/>
        <v>1.8600651110481006E-2</v>
      </c>
      <c r="P234" s="18"/>
      <c r="R234" s="18"/>
    </row>
    <row r="235" spans="1:18" x14ac:dyDescent="0.25">
      <c r="A235" s="37" t="s">
        <v>212</v>
      </c>
      <c r="B235" s="18">
        <v>2.6251999999999998E-3</v>
      </c>
      <c r="C235" s="162">
        <f t="shared" si="7"/>
        <v>4.8608655975770894E-5</v>
      </c>
      <c r="D235" s="21" t="s">
        <v>167</v>
      </c>
      <c r="E235" s="18">
        <v>1.24344286</v>
      </c>
      <c r="F235" s="166">
        <f t="shared" si="8"/>
        <v>1.8456732154341814E-2</v>
      </c>
      <c r="P235" s="18"/>
      <c r="R235" s="18"/>
    </row>
    <row r="236" spans="1:18" x14ac:dyDescent="0.25">
      <c r="A236" s="37" t="s">
        <v>35</v>
      </c>
      <c r="B236" s="18">
        <v>1.7704999999999999E-3</v>
      </c>
      <c r="C236" s="162">
        <f t="shared" si="7"/>
        <v>3.278288336321132E-5</v>
      </c>
      <c r="D236" s="21" t="s">
        <v>14</v>
      </c>
      <c r="E236" s="18">
        <v>1.1974591999999999</v>
      </c>
      <c r="F236" s="166">
        <f t="shared" si="8"/>
        <v>1.7774185232888325E-2</v>
      </c>
      <c r="P236" s="18"/>
      <c r="R236" s="18"/>
    </row>
    <row r="237" spans="1:18" x14ac:dyDescent="0.25">
      <c r="A237" s="37" t="s">
        <v>56</v>
      </c>
      <c r="B237" s="18">
        <v>1.5E-3</v>
      </c>
      <c r="C237" s="162">
        <f t="shared" si="7"/>
        <v>2.7774258709300749E-5</v>
      </c>
      <c r="D237" s="21" t="s">
        <v>91</v>
      </c>
      <c r="E237" s="18">
        <v>1.1832570800000002</v>
      </c>
      <c r="F237" s="166">
        <f t="shared" si="8"/>
        <v>1.7563379627503439E-2</v>
      </c>
      <c r="P237" s="18"/>
      <c r="R237" s="18"/>
    </row>
    <row r="238" spans="1:18" x14ac:dyDescent="0.25">
      <c r="A238" s="37" t="s">
        <v>141</v>
      </c>
      <c r="B238" s="18">
        <v>1.488E-3</v>
      </c>
      <c r="C238" s="162">
        <f t="shared" si="7"/>
        <v>2.7552064639626344E-5</v>
      </c>
      <c r="D238" s="21" t="s">
        <v>122</v>
      </c>
      <c r="E238" s="18">
        <v>1.1238308600000002</v>
      </c>
      <c r="F238" s="166">
        <f t="shared" si="8"/>
        <v>1.6681301438976955E-2</v>
      </c>
      <c r="P238" s="18"/>
      <c r="R238" s="18"/>
    </row>
    <row r="239" spans="1:18" x14ac:dyDescent="0.25">
      <c r="A239" s="37" t="s">
        <v>194</v>
      </c>
      <c r="B239" s="18">
        <v>1.1050000000000001E-3</v>
      </c>
      <c r="C239" s="162">
        <f t="shared" si="7"/>
        <v>2.0460370582518225E-5</v>
      </c>
      <c r="D239" s="21" t="s">
        <v>352</v>
      </c>
      <c r="E239" s="18">
        <v>1.0879849399999999</v>
      </c>
      <c r="F239" s="166">
        <f t="shared" si="8"/>
        <v>1.6149231517994841E-2</v>
      </c>
      <c r="P239" s="18"/>
      <c r="R239" s="18"/>
    </row>
    <row r="240" spans="1:18" x14ac:dyDescent="0.25">
      <c r="A240" s="37" t="s">
        <v>201</v>
      </c>
      <c r="B240" s="18">
        <v>9.6429999999999997E-4</v>
      </c>
      <c r="C240" s="162">
        <f t="shared" si="7"/>
        <v>1.7855145115585809E-5</v>
      </c>
      <c r="D240" s="21" t="s">
        <v>206</v>
      </c>
      <c r="E240" s="18">
        <v>1.05499476</v>
      </c>
      <c r="F240" s="166">
        <f t="shared" si="8"/>
        <v>1.5659550057293446E-2</v>
      </c>
      <c r="P240" s="18"/>
      <c r="R240" s="18"/>
    </row>
    <row r="241" spans="1:18" x14ac:dyDescent="0.25">
      <c r="A241" s="37" t="s">
        <v>47</v>
      </c>
      <c r="B241" s="18">
        <v>8.2987000000000002E-4</v>
      </c>
      <c r="C241" s="162">
        <f t="shared" si="7"/>
        <v>1.5366016050058277E-5</v>
      </c>
      <c r="D241" s="21" t="s">
        <v>35</v>
      </c>
      <c r="E241" s="18">
        <v>1.0189329499999999</v>
      </c>
      <c r="F241" s="166">
        <f t="shared" si="8"/>
        <v>1.5124275627255893E-2</v>
      </c>
      <c r="P241" s="18"/>
      <c r="R241" s="18"/>
    </row>
    <row r="242" spans="1:18" x14ac:dyDescent="0.25">
      <c r="A242" s="37" t="s">
        <v>111</v>
      </c>
      <c r="B242" s="18">
        <v>6.3000000000000003E-4</v>
      </c>
      <c r="C242" s="162">
        <f t="shared" si="7"/>
        <v>1.1665188657906316E-5</v>
      </c>
      <c r="D242" s="21" t="s">
        <v>9</v>
      </c>
      <c r="E242" s="18">
        <v>0.97430907</v>
      </c>
      <c r="F242" s="166">
        <f t="shared" si="8"/>
        <v>1.4461912259109252E-2</v>
      </c>
      <c r="P242" s="18"/>
      <c r="R242" s="18"/>
    </row>
    <row r="243" spans="1:18" x14ac:dyDescent="0.25">
      <c r="A243" s="37" t="s">
        <v>175</v>
      </c>
      <c r="B243" s="18">
        <v>5.5000000000000003E-4</v>
      </c>
      <c r="C243" s="162">
        <f t="shared" si="7"/>
        <v>1.0183894860076944E-5</v>
      </c>
      <c r="D243" s="21" t="s">
        <v>70</v>
      </c>
      <c r="E243" s="18">
        <v>0.96529334</v>
      </c>
      <c r="F243" s="166">
        <f t="shared" si="8"/>
        <v>1.432808953259823E-2</v>
      </c>
      <c r="P243" s="18"/>
      <c r="R243" s="18"/>
    </row>
    <row r="244" spans="1:18" x14ac:dyDescent="0.25">
      <c r="A244" s="37" t="s">
        <v>203</v>
      </c>
      <c r="B244" s="18">
        <v>3.0200000000000002E-4</v>
      </c>
      <c r="C244" s="162">
        <f t="shared" ref="C244:C293" si="9">(B244/$B$294)*100</f>
        <v>5.5918840868058856E-6</v>
      </c>
      <c r="D244" s="21" t="s">
        <v>357</v>
      </c>
      <c r="E244" s="18">
        <v>0.96244372</v>
      </c>
      <c r="F244" s="166">
        <f t="shared" ref="F244:F293" si="10">(E244/$E$294)*100</f>
        <v>1.428579191300222E-2</v>
      </c>
      <c r="P244" s="18"/>
      <c r="R244" s="18"/>
    </row>
    <row r="245" spans="1:18" x14ac:dyDescent="0.25">
      <c r="A245" s="37" t="s">
        <v>77</v>
      </c>
      <c r="B245" s="18">
        <v>1.1E-4</v>
      </c>
      <c r="C245" s="162">
        <f t="shared" si="9"/>
        <v>2.0367789720153886E-6</v>
      </c>
      <c r="D245" s="21" t="s">
        <v>368</v>
      </c>
      <c r="E245" s="18">
        <v>0.94547581000000003</v>
      </c>
      <c r="F245" s="166">
        <f t="shared" si="10"/>
        <v>1.4033932997596185E-2</v>
      </c>
      <c r="P245" s="18"/>
      <c r="R245" s="18"/>
    </row>
    <row r="246" spans="1:18" x14ac:dyDescent="0.25">
      <c r="A246" s="37" t="s">
        <v>53</v>
      </c>
      <c r="B246" s="18">
        <v>1.05E-4</v>
      </c>
      <c r="C246" s="162">
        <f t="shared" si="9"/>
        <v>1.9441981096510526E-6</v>
      </c>
      <c r="D246" s="21" t="s">
        <v>211</v>
      </c>
      <c r="E246" s="18">
        <v>0.91583328000000008</v>
      </c>
      <c r="F246" s="166">
        <f t="shared" si="10"/>
        <v>1.3593941539856791E-2</v>
      </c>
      <c r="P246" s="18"/>
      <c r="R246" s="18"/>
    </row>
    <row r="247" spans="1:18" x14ac:dyDescent="0.25">
      <c r="A247" s="37" t="s">
        <v>13</v>
      </c>
      <c r="B247" s="18">
        <v>1E-4</v>
      </c>
      <c r="C247" s="162">
        <f t="shared" si="9"/>
        <v>1.8516172472867168E-6</v>
      </c>
      <c r="D247" s="21" t="s">
        <v>143</v>
      </c>
      <c r="E247" s="18">
        <v>0.89742440000000001</v>
      </c>
      <c r="F247" s="166">
        <f t="shared" si="10"/>
        <v>1.3320693947746752E-2</v>
      </c>
      <c r="P247" s="18"/>
      <c r="R247" s="18"/>
    </row>
    <row r="248" spans="1:18" x14ac:dyDescent="0.25">
      <c r="A248" s="37" t="s">
        <v>386</v>
      </c>
      <c r="B248" s="18">
        <v>1E-4</v>
      </c>
      <c r="C248" s="162">
        <f t="shared" si="9"/>
        <v>1.8516172472867168E-6</v>
      </c>
      <c r="D248" s="21" t="s">
        <v>43</v>
      </c>
      <c r="E248" s="18">
        <v>0.86495018000000001</v>
      </c>
      <c r="F248" s="166">
        <f t="shared" si="10"/>
        <v>1.2838671009868312E-2</v>
      </c>
      <c r="P248" s="18"/>
      <c r="R248" s="18"/>
    </row>
    <row r="249" spans="1:18" x14ac:dyDescent="0.25">
      <c r="A249" s="37" t="s">
        <v>61</v>
      </c>
      <c r="B249" s="18">
        <v>5.0000000000000002E-5</v>
      </c>
      <c r="C249" s="162">
        <f t="shared" si="9"/>
        <v>9.2580862364335841E-7</v>
      </c>
      <c r="D249" s="21" t="s">
        <v>69</v>
      </c>
      <c r="E249" s="18">
        <v>0.82918096999999902</v>
      </c>
      <c r="F249" s="166">
        <f t="shared" si="10"/>
        <v>1.2307739714527227E-2</v>
      </c>
      <c r="P249" s="18"/>
      <c r="R249" s="18"/>
    </row>
    <row r="250" spans="1:18" x14ac:dyDescent="0.25">
      <c r="A250" s="37" t="s">
        <v>352</v>
      </c>
      <c r="B250" s="18">
        <v>4.5000000000000003E-5</v>
      </c>
      <c r="C250" s="162">
        <f t="shared" si="9"/>
        <v>8.3322776127902264E-7</v>
      </c>
      <c r="D250" s="21" t="s">
        <v>72</v>
      </c>
      <c r="E250" s="18">
        <v>0.71205772000000001</v>
      </c>
      <c r="F250" s="166">
        <f t="shared" si="10"/>
        <v>1.0569250135443554E-2</v>
      </c>
    </row>
    <row r="251" spans="1:18" x14ac:dyDescent="0.25">
      <c r="A251" s="37" t="s">
        <v>98</v>
      </c>
      <c r="B251" s="18">
        <v>2.0000000000000002E-5</v>
      </c>
      <c r="C251" s="162">
        <f t="shared" si="9"/>
        <v>3.7032344945734338E-7</v>
      </c>
      <c r="D251" s="21" t="s">
        <v>152</v>
      </c>
      <c r="E251" s="18">
        <v>0.71065253000000006</v>
      </c>
      <c r="F251" s="166">
        <f t="shared" si="10"/>
        <v>1.0548392550193551E-2</v>
      </c>
    </row>
    <row r="252" spans="1:18" x14ac:dyDescent="0.25">
      <c r="A252" s="37" t="s">
        <v>373</v>
      </c>
      <c r="B252" s="18">
        <v>1.0000000000000001E-5</v>
      </c>
      <c r="C252" s="162">
        <f t="shared" si="9"/>
        <v>1.8516172472867169E-7</v>
      </c>
      <c r="D252" s="21" t="s">
        <v>98</v>
      </c>
      <c r="E252" s="18">
        <v>0.69162592000000001</v>
      </c>
      <c r="F252" s="166">
        <f t="shared" si="10"/>
        <v>1.026597583779623E-2</v>
      </c>
    </row>
    <row r="253" spans="1:18" x14ac:dyDescent="0.25">
      <c r="A253" s="164"/>
      <c r="B253" s="151"/>
      <c r="C253" s="162">
        <f t="shared" si="9"/>
        <v>0</v>
      </c>
      <c r="D253" s="21" t="s">
        <v>203</v>
      </c>
      <c r="E253" s="18">
        <v>0.67955680000000007</v>
      </c>
      <c r="F253" s="166">
        <f t="shared" si="10"/>
        <v>1.0086830882813248E-2</v>
      </c>
    </row>
    <row r="254" spans="1:18" x14ac:dyDescent="0.25">
      <c r="A254" s="164"/>
      <c r="B254" s="151"/>
      <c r="C254" s="162">
        <f t="shared" si="9"/>
        <v>0</v>
      </c>
      <c r="D254" s="21" t="s">
        <v>170</v>
      </c>
      <c r="E254" s="18">
        <v>0.65851599999999999</v>
      </c>
      <c r="F254" s="166">
        <f t="shared" si="10"/>
        <v>9.7745170464435781E-3</v>
      </c>
    </row>
    <row r="255" spans="1:18" x14ac:dyDescent="0.25">
      <c r="A255" s="164"/>
      <c r="B255" s="151"/>
      <c r="C255" s="162">
        <f t="shared" si="9"/>
        <v>0</v>
      </c>
      <c r="D255" s="21" t="s">
        <v>374</v>
      </c>
      <c r="E255" s="18">
        <v>0.59606842000000004</v>
      </c>
      <c r="F255" s="166">
        <f t="shared" si="10"/>
        <v>8.8475920587148833E-3</v>
      </c>
    </row>
    <row r="256" spans="1:18" x14ac:dyDescent="0.25">
      <c r="A256" s="164"/>
      <c r="B256" s="151"/>
      <c r="C256" s="162">
        <f t="shared" si="9"/>
        <v>0</v>
      </c>
      <c r="D256" s="21" t="s">
        <v>34</v>
      </c>
      <c r="E256" s="18">
        <v>0.56811369999999994</v>
      </c>
      <c r="F256" s="166">
        <f t="shared" si="10"/>
        <v>8.4326531852956226E-3</v>
      </c>
    </row>
    <row r="257" spans="1:6" x14ac:dyDescent="0.25">
      <c r="A257" s="164"/>
      <c r="B257" s="151"/>
      <c r="C257" s="162">
        <f t="shared" si="9"/>
        <v>0</v>
      </c>
      <c r="D257" s="21" t="s">
        <v>139</v>
      </c>
      <c r="E257" s="18">
        <v>0.43526069000000001</v>
      </c>
      <c r="F257" s="166">
        <f t="shared" si="10"/>
        <v>6.4606828597206347E-3</v>
      </c>
    </row>
    <row r="258" spans="1:6" x14ac:dyDescent="0.25">
      <c r="A258" s="164"/>
      <c r="B258" s="151"/>
      <c r="C258" s="162">
        <f t="shared" si="9"/>
        <v>0</v>
      </c>
      <c r="D258" s="21" t="s">
        <v>42</v>
      </c>
      <c r="E258" s="18">
        <v>0.34970982</v>
      </c>
      <c r="F258" s="166">
        <f t="shared" si="10"/>
        <v>5.1908299827167674E-3</v>
      </c>
    </row>
    <row r="259" spans="1:6" x14ac:dyDescent="0.25">
      <c r="A259" s="164"/>
      <c r="B259" s="151"/>
      <c r="C259" s="162">
        <f t="shared" si="9"/>
        <v>0</v>
      </c>
      <c r="D259" s="21" t="s">
        <v>37</v>
      </c>
      <c r="E259" s="18">
        <v>0.34741263999999999</v>
      </c>
      <c r="F259" s="166">
        <f t="shared" si="10"/>
        <v>5.1567323676721078E-3</v>
      </c>
    </row>
    <row r="260" spans="1:6" x14ac:dyDescent="0.25">
      <c r="A260" s="164"/>
      <c r="B260" s="151"/>
      <c r="C260" s="162">
        <f t="shared" si="9"/>
        <v>0</v>
      </c>
      <c r="D260" s="21" t="s">
        <v>60</v>
      </c>
      <c r="E260" s="18">
        <v>0.28582767999999997</v>
      </c>
      <c r="F260" s="166">
        <f t="shared" si="10"/>
        <v>4.2426114635110155E-3</v>
      </c>
    </row>
    <row r="261" spans="1:6" x14ac:dyDescent="0.25">
      <c r="A261" s="164"/>
      <c r="B261" s="151"/>
      <c r="C261" s="162">
        <f t="shared" si="9"/>
        <v>0</v>
      </c>
      <c r="D261" s="21" t="s">
        <v>371</v>
      </c>
      <c r="E261" s="18">
        <v>0.26748124000000001</v>
      </c>
      <c r="F261" s="166">
        <f t="shared" si="10"/>
        <v>3.9702906838768775E-3</v>
      </c>
    </row>
    <row r="262" spans="1:6" x14ac:dyDescent="0.25">
      <c r="A262" s="164"/>
      <c r="B262" s="151"/>
      <c r="C262" s="162">
        <f t="shared" si="9"/>
        <v>0</v>
      </c>
      <c r="D262" s="21" t="s">
        <v>350</v>
      </c>
      <c r="E262" s="18">
        <v>0.25956456</v>
      </c>
      <c r="F262" s="166">
        <f t="shared" si="10"/>
        <v>3.8527814303261072E-3</v>
      </c>
    </row>
    <row r="263" spans="1:6" x14ac:dyDescent="0.25">
      <c r="A263" s="164"/>
      <c r="B263" s="151"/>
      <c r="C263" s="162">
        <f t="shared" si="9"/>
        <v>0</v>
      </c>
      <c r="D263" s="21" t="s">
        <v>13</v>
      </c>
      <c r="E263" s="18">
        <v>0.25292945</v>
      </c>
      <c r="F263" s="166">
        <f t="shared" si="10"/>
        <v>3.7542948395674495E-3</v>
      </c>
    </row>
    <row r="264" spans="1:6" x14ac:dyDescent="0.25">
      <c r="A264" s="164"/>
      <c r="B264" s="151"/>
      <c r="C264" s="162">
        <f t="shared" si="9"/>
        <v>0</v>
      </c>
      <c r="D264" s="21" t="s">
        <v>55</v>
      </c>
      <c r="E264" s="18">
        <v>0.25252059999999998</v>
      </c>
      <c r="F264" s="166">
        <f t="shared" si="10"/>
        <v>3.7482261771591883E-3</v>
      </c>
    </row>
    <row r="265" spans="1:6" x14ac:dyDescent="0.25">
      <c r="A265" s="164"/>
      <c r="B265" s="151"/>
      <c r="C265" s="162">
        <f t="shared" si="9"/>
        <v>0</v>
      </c>
      <c r="D265" s="21" t="s">
        <v>121</v>
      </c>
      <c r="E265" s="18">
        <v>0.23458722000000001</v>
      </c>
      <c r="F265" s="166">
        <f t="shared" si="10"/>
        <v>3.4820365500121634E-3</v>
      </c>
    </row>
    <row r="266" spans="1:6" x14ac:dyDescent="0.25">
      <c r="A266" s="164"/>
      <c r="B266" s="151"/>
      <c r="C266" s="162">
        <f t="shared" si="9"/>
        <v>0</v>
      </c>
      <c r="D266" s="21" t="s">
        <v>77</v>
      </c>
      <c r="E266" s="18">
        <v>0.23223151</v>
      </c>
      <c r="F266" s="166">
        <f t="shared" si="10"/>
        <v>3.4470701595957151E-3</v>
      </c>
    </row>
    <row r="267" spans="1:6" x14ac:dyDescent="0.25">
      <c r="A267" s="164"/>
      <c r="B267" s="151"/>
      <c r="C267" s="162">
        <f t="shared" si="9"/>
        <v>0</v>
      </c>
      <c r="D267" s="21" t="s">
        <v>148</v>
      </c>
      <c r="E267" s="18">
        <v>0.22016301000000002</v>
      </c>
      <c r="F267" s="166">
        <f t="shared" si="10"/>
        <v>3.2679344074271967E-3</v>
      </c>
    </row>
    <row r="268" spans="1:6" x14ac:dyDescent="0.25">
      <c r="A268" s="164"/>
      <c r="B268" s="151"/>
      <c r="C268" s="162">
        <f t="shared" si="9"/>
        <v>0</v>
      </c>
      <c r="D268" s="21" t="s">
        <v>78</v>
      </c>
      <c r="E268" s="18">
        <v>0.18896825</v>
      </c>
      <c r="F268" s="166">
        <f t="shared" si="10"/>
        <v>2.804902813085197E-3</v>
      </c>
    </row>
    <row r="269" spans="1:6" x14ac:dyDescent="0.25">
      <c r="A269" s="164"/>
      <c r="B269" s="151"/>
      <c r="C269" s="162">
        <f t="shared" si="9"/>
        <v>0</v>
      </c>
      <c r="D269" s="21" t="s">
        <v>354</v>
      </c>
      <c r="E269" s="18">
        <v>0.18775260000000002</v>
      </c>
      <c r="F269" s="166">
        <f t="shared" si="10"/>
        <v>2.7868586172759701E-3</v>
      </c>
    </row>
    <row r="270" spans="1:6" x14ac:dyDescent="0.25">
      <c r="A270" s="164"/>
      <c r="B270" s="151"/>
      <c r="C270" s="162">
        <f t="shared" si="9"/>
        <v>0</v>
      </c>
      <c r="D270" s="21" t="s">
        <v>199</v>
      </c>
      <c r="E270" s="18">
        <v>0.17955010000000002</v>
      </c>
      <c r="F270" s="166">
        <f t="shared" si="10"/>
        <v>2.6651068662578419E-3</v>
      </c>
    </row>
    <row r="271" spans="1:6" x14ac:dyDescent="0.25">
      <c r="A271" s="164"/>
      <c r="B271" s="151"/>
      <c r="C271" s="162">
        <f t="shared" si="9"/>
        <v>0</v>
      </c>
      <c r="D271" s="21" t="s">
        <v>367</v>
      </c>
      <c r="E271" s="18">
        <v>0.14012957999999998</v>
      </c>
      <c r="F271" s="166">
        <f t="shared" si="10"/>
        <v>2.0799782669228672E-3</v>
      </c>
    </row>
    <row r="272" spans="1:6" x14ac:dyDescent="0.25">
      <c r="A272" s="164"/>
      <c r="B272" s="151"/>
      <c r="C272" s="162">
        <f t="shared" si="9"/>
        <v>0</v>
      </c>
      <c r="D272" s="21" t="s">
        <v>216</v>
      </c>
      <c r="E272" s="18">
        <v>0.124803</v>
      </c>
      <c r="F272" s="166">
        <f t="shared" si="10"/>
        <v>1.8524820216172389E-3</v>
      </c>
    </row>
    <row r="273" spans="1:6" x14ac:dyDescent="0.25">
      <c r="A273" s="164"/>
      <c r="B273" s="151"/>
      <c r="C273" s="162">
        <f t="shared" si="9"/>
        <v>0</v>
      </c>
      <c r="D273" s="21" t="s">
        <v>154</v>
      </c>
      <c r="E273" s="18">
        <v>9.9009659999999999E-2</v>
      </c>
      <c r="F273" s="166">
        <f t="shared" si="10"/>
        <v>1.4696250500103002E-3</v>
      </c>
    </row>
    <row r="274" spans="1:6" x14ac:dyDescent="0.25">
      <c r="A274" s="164"/>
      <c r="B274" s="151"/>
      <c r="C274" s="162">
        <f t="shared" si="9"/>
        <v>0</v>
      </c>
      <c r="D274" s="21" t="s">
        <v>3</v>
      </c>
      <c r="E274" s="18">
        <v>8.9243580000000003E-2</v>
      </c>
      <c r="F274" s="166">
        <f t="shared" si="10"/>
        <v>1.3246646915119013E-3</v>
      </c>
    </row>
    <row r="275" spans="1:6" x14ac:dyDescent="0.25">
      <c r="A275" s="164"/>
      <c r="B275" s="151"/>
      <c r="C275" s="162">
        <f t="shared" si="9"/>
        <v>0</v>
      </c>
      <c r="D275" s="21" t="s">
        <v>1</v>
      </c>
      <c r="E275" s="18">
        <v>8.076127000000001E-2</v>
      </c>
      <c r="F275" s="166">
        <f t="shared" si="10"/>
        <v>1.1987596509537087E-3</v>
      </c>
    </row>
    <row r="276" spans="1:6" x14ac:dyDescent="0.25">
      <c r="A276" s="164"/>
      <c r="B276" s="151"/>
      <c r="C276" s="162">
        <f t="shared" si="9"/>
        <v>0</v>
      </c>
      <c r="D276" s="21" t="s">
        <v>46</v>
      </c>
      <c r="E276" s="18">
        <v>8.0462130000000007E-2</v>
      </c>
      <c r="F276" s="166">
        <f t="shared" si="10"/>
        <v>1.1943194414078917E-3</v>
      </c>
    </row>
    <row r="277" spans="1:6" x14ac:dyDescent="0.25">
      <c r="A277" s="164"/>
      <c r="B277" s="151"/>
      <c r="C277" s="162">
        <f t="shared" si="9"/>
        <v>0</v>
      </c>
      <c r="D277" s="21" t="s">
        <v>379</v>
      </c>
      <c r="E277" s="18">
        <v>7.3638149999999999E-2</v>
      </c>
      <c r="F277" s="166">
        <f t="shared" si="10"/>
        <v>1.0930294061853761E-3</v>
      </c>
    </row>
    <row r="278" spans="1:6" x14ac:dyDescent="0.25">
      <c r="A278" s="164"/>
      <c r="B278" s="151"/>
      <c r="C278" s="162">
        <f t="shared" si="9"/>
        <v>0</v>
      </c>
      <c r="D278" s="21" t="s">
        <v>396</v>
      </c>
      <c r="E278" s="18">
        <v>5.7677550000000001E-2</v>
      </c>
      <c r="F278" s="166">
        <f t="shared" si="10"/>
        <v>8.5612224406407999E-4</v>
      </c>
    </row>
    <row r="279" spans="1:6" x14ac:dyDescent="0.25">
      <c r="A279" s="164"/>
      <c r="B279" s="151"/>
      <c r="C279" s="162">
        <f t="shared" si="9"/>
        <v>0</v>
      </c>
      <c r="D279" s="21" t="s">
        <v>375</v>
      </c>
      <c r="E279" s="18">
        <v>3.4261440000000004E-2</v>
      </c>
      <c r="F279" s="166">
        <f t="shared" si="10"/>
        <v>5.0855108959494354E-4</v>
      </c>
    </row>
    <row r="280" spans="1:6" x14ac:dyDescent="0.25">
      <c r="A280" s="164"/>
      <c r="B280" s="151"/>
      <c r="C280" s="162">
        <f t="shared" si="9"/>
        <v>0</v>
      </c>
      <c r="D280" s="21" t="s">
        <v>130</v>
      </c>
      <c r="E280" s="18">
        <v>3.2717780000000002E-2</v>
      </c>
      <c r="F280" s="166">
        <f t="shared" si="10"/>
        <v>4.8563815963741314E-4</v>
      </c>
    </row>
    <row r="281" spans="1:6" x14ac:dyDescent="0.25">
      <c r="A281" s="164"/>
      <c r="B281" s="151"/>
      <c r="C281" s="162">
        <f t="shared" si="9"/>
        <v>0</v>
      </c>
      <c r="D281" s="21" t="s">
        <v>61</v>
      </c>
      <c r="E281" s="18">
        <v>3.0595490000000003E-2</v>
      </c>
      <c r="F281" s="166">
        <f t="shared" si="10"/>
        <v>4.5413648043372379E-4</v>
      </c>
    </row>
    <row r="282" spans="1:6" x14ac:dyDescent="0.25">
      <c r="A282" s="164"/>
      <c r="B282" s="151"/>
      <c r="C282" s="162">
        <f t="shared" si="9"/>
        <v>0</v>
      </c>
      <c r="D282" s="21" t="s">
        <v>7</v>
      </c>
      <c r="E282" s="18">
        <v>2.1148150000000001E-2</v>
      </c>
      <c r="F282" s="166">
        <f t="shared" si="10"/>
        <v>3.1390725916415963E-4</v>
      </c>
    </row>
    <row r="283" spans="1:6" x14ac:dyDescent="0.25">
      <c r="A283" s="164"/>
      <c r="B283" s="151"/>
      <c r="C283" s="162">
        <f t="shared" si="9"/>
        <v>0</v>
      </c>
      <c r="D283" s="21" t="s">
        <v>41</v>
      </c>
      <c r="E283" s="18">
        <v>1.9244869999999997E-2</v>
      </c>
      <c r="F283" s="166">
        <f t="shared" si="10"/>
        <v>2.8565639995321385E-4</v>
      </c>
    </row>
    <row r="284" spans="1:6" x14ac:dyDescent="0.25">
      <c r="A284" s="164"/>
      <c r="B284" s="151"/>
      <c r="C284" s="162">
        <f t="shared" si="9"/>
        <v>0</v>
      </c>
      <c r="D284" s="21" t="s">
        <v>366</v>
      </c>
      <c r="E284" s="18">
        <v>1.36851E-2</v>
      </c>
      <c r="F284" s="166">
        <f t="shared" si="10"/>
        <v>2.0313134871785196E-4</v>
      </c>
    </row>
    <row r="285" spans="1:6" x14ac:dyDescent="0.25">
      <c r="A285" s="164"/>
      <c r="B285" s="151"/>
      <c r="C285" s="162">
        <f t="shared" si="9"/>
        <v>0</v>
      </c>
      <c r="D285" s="21" t="s">
        <v>380</v>
      </c>
      <c r="E285" s="18">
        <v>1.329963E-2</v>
      </c>
      <c r="F285" s="166">
        <f t="shared" si="10"/>
        <v>1.9740972147433381E-4</v>
      </c>
    </row>
    <row r="286" spans="1:6" x14ac:dyDescent="0.25">
      <c r="A286" s="164"/>
      <c r="B286" s="151"/>
      <c r="C286" s="162">
        <f t="shared" si="9"/>
        <v>0</v>
      </c>
      <c r="D286" s="21" t="s">
        <v>128</v>
      </c>
      <c r="E286" s="18">
        <v>1.251946E-2</v>
      </c>
      <c r="F286" s="166">
        <f t="shared" si="10"/>
        <v>1.8582946379779459E-4</v>
      </c>
    </row>
    <row r="287" spans="1:6" x14ac:dyDescent="0.25">
      <c r="A287" s="164"/>
      <c r="B287" s="151"/>
      <c r="C287" s="162">
        <f t="shared" si="9"/>
        <v>0</v>
      </c>
      <c r="D287" s="21" t="s">
        <v>369</v>
      </c>
      <c r="E287" s="18">
        <v>3.7704099999999996E-3</v>
      </c>
      <c r="F287" s="166">
        <f t="shared" si="10"/>
        <v>5.596513496571279E-5</v>
      </c>
    </row>
    <row r="288" spans="1:6" x14ac:dyDescent="0.25">
      <c r="A288" s="164"/>
      <c r="B288" s="151"/>
      <c r="C288" s="162">
        <f t="shared" si="9"/>
        <v>0</v>
      </c>
      <c r="D288" s="21" t="s">
        <v>355</v>
      </c>
      <c r="E288" s="18">
        <v>2.8990500000000002E-3</v>
      </c>
      <c r="F288" s="166">
        <f t="shared" si="10"/>
        <v>4.3031321400683135E-5</v>
      </c>
    </row>
    <row r="289" spans="1:23" x14ac:dyDescent="0.25">
      <c r="A289" s="164"/>
      <c r="B289" s="151"/>
      <c r="C289" s="162">
        <f t="shared" si="9"/>
        <v>0</v>
      </c>
      <c r="D289" s="21" t="s">
        <v>47</v>
      </c>
      <c r="E289" s="18">
        <v>2.7443599999999999E-3</v>
      </c>
      <c r="F289" s="166">
        <f t="shared" si="10"/>
        <v>4.0735219192210811E-5</v>
      </c>
    </row>
    <row r="290" spans="1:23" s="11" customFormat="1" ht="13" x14ac:dyDescent="0.3">
      <c r="A290" s="164"/>
      <c r="B290" s="151"/>
      <c r="C290" s="162">
        <f t="shared" si="9"/>
        <v>0</v>
      </c>
      <c r="D290" s="21" t="s">
        <v>370</v>
      </c>
      <c r="E290" s="18">
        <v>2.0077100000000002E-3</v>
      </c>
      <c r="F290" s="166">
        <f t="shared" si="10"/>
        <v>2.9800939717964694E-5</v>
      </c>
      <c r="W290" s="96"/>
    </row>
    <row r="291" spans="1:23" x14ac:dyDescent="0.25">
      <c r="A291" s="164"/>
      <c r="B291" s="151"/>
      <c r="C291" s="162">
        <f t="shared" si="9"/>
        <v>0</v>
      </c>
      <c r="D291" s="21" t="s">
        <v>404</v>
      </c>
      <c r="E291" s="18">
        <v>1.8345200000000001E-3</v>
      </c>
      <c r="F291" s="166">
        <f t="shared" si="10"/>
        <v>2.7230237400521281E-5</v>
      </c>
    </row>
    <row r="292" spans="1:23" x14ac:dyDescent="0.25">
      <c r="A292" s="164"/>
      <c r="B292" s="151"/>
      <c r="C292" s="162">
        <f t="shared" si="9"/>
        <v>0</v>
      </c>
      <c r="D292" s="21" t="s">
        <v>377</v>
      </c>
      <c r="E292" s="18">
        <v>4.2274000000000001E-4</v>
      </c>
      <c r="F292" s="166">
        <f t="shared" si="10"/>
        <v>6.274835138726406E-6</v>
      </c>
    </row>
    <row r="293" spans="1:23" x14ac:dyDescent="0.25">
      <c r="A293" s="164"/>
      <c r="B293" s="151"/>
      <c r="C293" s="162">
        <f t="shared" si="9"/>
        <v>0</v>
      </c>
      <c r="D293" s="21" t="s">
        <v>51</v>
      </c>
      <c r="E293" s="18">
        <v>4.1906000000000002E-4</v>
      </c>
      <c r="F293" s="166">
        <f t="shared" si="10"/>
        <v>6.2202119819148594E-6</v>
      </c>
    </row>
    <row r="294" spans="1:23" x14ac:dyDescent="0.25">
      <c r="A294" s="164"/>
      <c r="B294" s="362">
        <f>SUM(B52:B293)</f>
        <v>5400.6841935900011</v>
      </c>
      <c r="C294" s="363">
        <f>SUM(C52:C293)</f>
        <v>99.999999999999915</v>
      </c>
      <c r="D294" s="165"/>
      <c r="E294" s="362">
        <f>SUM(E52:E293)</f>
        <v>6737.0694313699996</v>
      </c>
      <c r="F294" s="364">
        <f>SUM(F52:F293)</f>
        <v>99.999999999999915</v>
      </c>
    </row>
  </sheetData>
  <mergeCells count="4">
    <mergeCell ref="A50:F50"/>
    <mergeCell ref="A1:J1"/>
    <mergeCell ref="A2:K2"/>
    <mergeCell ref="A9:F9"/>
  </mergeCells>
  <hyperlinks>
    <hyperlink ref="M1" location="'Table of Content'!A1" display="Table of Content" xr:uid="{C0931F1A-E3FD-4A6A-9AB3-6310B5F65E32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BF1C-1E6E-4362-94E6-97FF50AE93B4}">
  <dimension ref="A1:AY569"/>
  <sheetViews>
    <sheetView zoomScaleNormal="100" workbookViewId="0">
      <selection activeCell="E18" sqref="E18"/>
    </sheetView>
  </sheetViews>
  <sheetFormatPr defaultColWidth="8.7265625" defaultRowHeight="14.5" customHeight="1" x14ac:dyDescent="0.25"/>
  <cols>
    <col min="1" max="1" width="10.54296875" style="20" customWidth="1"/>
    <col min="2" max="2" width="14.81640625" style="20" customWidth="1"/>
    <col min="3" max="3" width="13.81640625" style="20" customWidth="1"/>
    <col min="4" max="4" width="14.1796875" style="20" customWidth="1"/>
    <col min="5" max="5" width="14.54296875" style="20" customWidth="1"/>
    <col min="6" max="6" width="8.7265625" style="20"/>
    <col min="7" max="7" width="59.7265625" style="20" customWidth="1"/>
    <col min="8" max="9" width="9.1796875" style="20" bestFit="1" customWidth="1"/>
    <col min="10" max="11" width="7.6328125" style="20" bestFit="1" customWidth="1"/>
    <col min="12" max="20" width="9.1796875" style="20" bestFit="1" customWidth="1"/>
    <col min="21" max="21" width="11" style="20" bestFit="1" customWidth="1"/>
    <col min="22" max="22" width="9.90625" style="20" customWidth="1"/>
    <col min="23" max="23" width="16.36328125" style="20" bestFit="1" customWidth="1"/>
    <col min="24" max="24" width="25.6328125" style="20" customWidth="1"/>
    <col min="25" max="25" width="8.7265625" style="20"/>
    <col min="26" max="27" width="9.1796875" style="20" bestFit="1" customWidth="1"/>
    <col min="28" max="29" width="8.81640625" style="20" bestFit="1" customWidth="1"/>
    <col min="30" max="30" width="9.1796875" style="20" bestFit="1" customWidth="1"/>
    <col min="31" max="31" width="11.54296875" style="20" bestFit="1" customWidth="1"/>
    <col min="32" max="38" width="9.1796875" style="20" bestFit="1" customWidth="1"/>
    <col min="39" max="39" width="14.81640625" style="18" bestFit="1" customWidth="1"/>
    <col min="40" max="16384" width="8.7265625" style="20"/>
  </cols>
  <sheetData>
    <row r="1" spans="1:51" ht="14.5" customHeight="1" x14ac:dyDescent="0.3">
      <c r="A1" s="11" t="s">
        <v>1009</v>
      </c>
      <c r="B1" s="11"/>
      <c r="C1" s="11"/>
      <c r="D1" s="11"/>
      <c r="W1" s="51"/>
    </row>
    <row r="3" spans="1:51" ht="14.5" customHeight="1" x14ac:dyDescent="0.3">
      <c r="A3" s="181"/>
      <c r="B3" s="181" t="s">
        <v>476</v>
      </c>
      <c r="C3" s="181"/>
      <c r="D3" s="181"/>
      <c r="E3" s="180"/>
      <c r="G3" s="592" t="s">
        <v>1008</v>
      </c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</row>
    <row r="4" spans="1:51" ht="14.5" customHeight="1" x14ac:dyDescent="0.3">
      <c r="A4" s="179" t="s">
        <v>397</v>
      </c>
      <c r="B4" s="179" t="s">
        <v>475</v>
      </c>
      <c r="C4" s="179" t="s">
        <v>243</v>
      </c>
      <c r="D4" s="179" t="s">
        <v>219</v>
      </c>
      <c r="E4" s="179" t="s">
        <v>474</v>
      </c>
      <c r="G4" s="561" t="s">
        <v>424</v>
      </c>
      <c r="H4" s="539">
        <v>2024</v>
      </c>
      <c r="I4" s="541"/>
      <c r="J4" s="539">
        <v>2025</v>
      </c>
      <c r="K4" s="540"/>
      <c r="L4" s="540"/>
      <c r="M4" s="540"/>
      <c r="N4" s="540"/>
      <c r="O4" s="540"/>
      <c r="P4" s="540"/>
      <c r="Q4" s="540"/>
      <c r="R4" s="540"/>
      <c r="S4" s="540"/>
      <c r="T4" s="541"/>
      <c r="U4" s="496" t="s">
        <v>1006</v>
      </c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</row>
    <row r="5" spans="1:51" s="32" customFormat="1" ht="13" x14ac:dyDescent="0.3">
      <c r="A5" s="593" t="s">
        <v>473</v>
      </c>
      <c r="B5" s="178" t="s">
        <v>231</v>
      </c>
      <c r="C5" s="177">
        <v>1505.64881027</v>
      </c>
      <c r="D5" s="178">
        <v>1829.05614679001</v>
      </c>
      <c r="E5" s="178">
        <f t="shared" ref="E5:E17" si="0">C5-D5</f>
        <v>-323.40733652000995</v>
      </c>
      <c r="G5" s="562"/>
      <c r="H5" s="26" t="s">
        <v>231</v>
      </c>
      <c r="I5" s="26" t="s">
        <v>232</v>
      </c>
      <c r="J5" s="26" t="s">
        <v>221</v>
      </c>
      <c r="K5" s="26" t="s">
        <v>222</v>
      </c>
      <c r="L5" s="26" t="s">
        <v>223</v>
      </c>
      <c r="M5" s="26" t="s">
        <v>224</v>
      </c>
      <c r="N5" s="26" t="s">
        <v>225</v>
      </c>
      <c r="O5" s="26" t="s">
        <v>226</v>
      </c>
      <c r="P5" s="26" t="s">
        <v>227</v>
      </c>
      <c r="Q5" s="26" t="s">
        <v>228</v>
      </c>
      <c r="R5" s="26" t="s">
        <v>941</v>
      </c>
      <c r="S5" s="26" t="s">
        <v>230</v>
      </c>
      <c r="T5" s="26" t="s">
        <v>231</v>
      </c>
      <c r="U5" s="495" t="s">
        <v>472</v>
      </c>
      <c r="Y5" s="172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71"/>
    </row>
    <row r="6" spans="1:51" s="32" customFormat="1" ht="12.5" customHeight="1" x14ac:dyDescent="0.25">
      <c r="A6" s="594"/>
      <c r="B6" s="151" t="s">
        <v>232</v>
      </c>
      <c r="C6" s="151">
        <v>2087.88115655001</v>
      </c>
      <c r="D6" s="151">
        <v>1466.61990226999</v>
      </c>
      <c r="E6" s="151">
        <f t="shared" si="0"/>
        <v>621.26125428002001</v>
      </c>
      <c r="G6" s="156" t="s">
        <v>465</v>
      </c>
      <c r="H6" s="473">
        <v>651.66922205999902</v>
      </c>
      <c r="I6" s="473">
        <v>977.48743768999896</v>
      </c>
      <c r="J6" s="473">
        <v>1347.5830084900001</v>
      </c>
      <c r="K6" s="473">
        <v>1282.1117562300001</v>
      </c>
      <c r="L6" s="473">
        <v>1490.3349306</v>
      </c>
      <c r="M6" s="473">
        <v>1353.2292663399999</v>
      </c>
      <c r="N6" s="473">
        <v>1278.07662781</v>
      </c>
      <c r="O6" s="473">
        <v>1498.5284958699999</v>
      </c>
      <c r="P6" s="473">
        <v>1674.8412315999999</v>
      </c>
      <c r="Q6" s="473">
        <v>1445.6829666800002</v>
      </c>
      <c r="R6" s="473">
        <v>1044.65771563</v>
      </c>
      <c r="S6" s="473">
        <v>1199.2538478900001</v>
      </c>
      <c r="T6" s="473">
        <v>807.89342184999998</v>
      </c>
      <c r="U6" s="166">
        <f>(Table41[[#This Row],[Column14]]/$T$24)*100</f>
        <v>45.604107697901583</v>
      </c>
      <c r="Y6" s="20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</row>
    <row r="7" spans="1:51" s="32" customFormat="1" ht="12.5" customHeight="1" x14ac:dyDescent="0.25">
      <c r="A7" s="593">
        <v>2025</v>
      </c>
      <c r="B7" s="177" t="s">
        <v>221</v>
      </c>
      <c r="C7" s="177">
        <v>1733.45929905001</v>
      </c>
      <c r="D7" s="177">
        <v>1503.70598745999</v>
      </c>
      <c r="E7" s="177">
        <f t="shared" si="0"/>
        <v>229.75331159002008</v>
      </c>
      <c r="G7" s="490" t="s">
        <v>459</v>
      </c>
      <c r="H7" s="473">
        <v>499.72909750999997</v>
      </c>
      <c r="I7" s="473">
        <v>821.96257527</v>
      </c>
      <c r="J7" s="473">
        <v>199.29167630000001</v>
      </c>
      <c r="K7" s="473">
        <v>40.628601369999998</v>
      </c>
      <c r="L7" s="473">
        <v>51.97169117</v>
      </c>
      <c r="M7" s="473">
        <v>44.320350840000003</v>
      </c>
      <c r="N7" s="473">
        <v>36.727194479999994</v>
      </c>
      <c r="O7" s="473">
        <v>25.306928379999999</v>
      </c>
      <c r="P7" s="473">
        <v>35.087458909999995</v>
      </c>
      <c r="Q7" s="473">
        <v>19.482477969999998</v>
      </c>
      <c r="R7" s="473">
        <v>34.985250630000003</v>
      </c>
      <c r="S7" s="473">
        <v>47.690162549999997</v>
      </c>
      <c r="T7" s="473">
        <v>463.09247098999998</v>
      </c>
      <c r="U7" s="166">
        <f>(Table41[[#This Row],[Column14]]/$T$24)*100</f>
        <v>26.140723949397909</v>
      </c>
      <c r="Y7" s="20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</row>
    <row r="8" spans="1:51" s="34" customFormat="1" ht="12.5" customHeight="1" x14ac:dyDescent="0.25">
      <c r="A8" s="594"/>
      <c r="B8" s="467" t="s">
        <v>222</v>
      </c>
      <c r="C8" s="151">
        <v>1608.3100656099998</v>
      </c>
      <c r="D8" s="467">
        <v>1487.6782857599899</v>
      </c>
      <c r="E8" s="467">
        <f t="shared" si="0"/>
        <v>120.63177985000993</v>
      </c>
      <c r="G8" s="156" t="s">
        <v>468</v>
      </c>
      <c r="H8" s="473">
        <v>203.65645046</v>
      </c>
      <c r="I8" s="473">
        <v>135.72617156000001</v>
      </c>
      <c r="J8" s="473">
        <v>97.633935739999998</v>
      </c>
      <c r="K8" s="473">
        <v>147.05188102000002</v>
      </c>
      <c r="L8" s="473">
        <v>111.04392959</v>
      </c>
      <c r="M8" s="473">
        <v>230.02950662000001</v>
      </c>
      <c r="N8" s="473">
        <v>222.59498265000002</v>
      </c>
      <c r="O8" s="473">
        <v>248.15000299000002</v>
      </c>
      <c r="P8" s="473">
        <v>357.77070886000001</v>
      </c>
      <c r="Q8" s="473">
        <v>245.26666644999997</v>
      </c>
      <c r="R8" s="473">
        <v>212.59158884999999</v>
      </c>
      <c r="S8" s="473">
        <v>289.07425128</v>
      </c>
      <c r="T8" s="473">
        <v>285.30765076</v>
      </c>
      <c r="U8" s="166">
        <f>(Table41[[#This Row],[Column14]]/$T$24)*100</f>
        <v>16.105095648012462</v>
      </c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</row>
    <row r="9" spans="1:51" s="34" customFormat="1" ht="12.5" customHeight="1" x14ac:dyDescent="0.25">
      <c r="A9" s="594"/>
      <c r="B9" s="494" t="s">
        <v>223</v>
      </c>
      <c r="C9" s="177">
        <v>1765.6799966199999</v>
      </c>
      <c r="D9" s="494">
        <v>1430.6964128029899</v>
      </c>
      <c r="E9" s="494">
        <f t="shared" si="0"/>
        <v>334.98358381700996</v>
      </c>
      <c r="G9" s="37" t="s">
        <v>458</v>
      </c>
      <c r="H9" s="473">
        <v>10.42387943</v>
      </c>
      <c r="I9" s="473">
        <v>12.15840367</v>
      </c>
      <c r="J9" s="473">
        <v>19.689693850000001</v>
      </c>
      <c r="K9" s="473">
        <v>6.3198654699999999</v>
      </c>
      <c r="L9" s="473">
        <v>20.559936399999998</v>
      </c>
      <c r="M9" s="473">
        <v>5.3717062000000002</v>
      </c>
      <c r="N9" s="473">
        <v>28.13312294</v>
      </c>
      <c r="O9" s="473">
        <v>15.399115779999999</v>
      </c>
      <c r="P9" s="473">
        <v>20.524168960000001</v>
      </c>
      <c r="Q9" s="473">
        <v>10.124521980000001</v>
      </c>
      <c r="R9" s="473">
        <v>16.580451889999999</v>
      </c>
      <c r="S9" s="473">
        <v>54.856967479999994</v>
      </c>
      <c r="T9" s="473">
        <v>54.318633649999995</v>
      </c>
      <c r="U9" s="166">
        <f>(Table41[[#This Row],[Column14]]/$T$24)*100</f>
        <v>3.0661876331472206</v>
      </c>
      <c r="Y9" s="31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</row>
    <row r="10" spans="1:51" s="34" customFormat="1" ht="12.5" customHeight="1" x14ac:dyDescent="0.25">
      <c r="A10" s="594"/>
      <c r="B10" s="467" t="s">
        <v>224</v>
      </c>
      <c r="C10" s="151">
        <v>1721.84115761</v>
      </c>
      <c r="D10" s="467">
        <v>1208.35200226999</v>
      </c>
      <c r="E10" s="467">
        <f t="shared" si="0"/>
        <v>513.48915534001003</v>
      </c>
      <c r="G10" s="493" t="s">
        <v>467</v>
      </c>
      <c r="H10" s="492">
        <v>66.854272710000004</v>
      </c>
      <c r="I10" s="492">
        <v>34.524327849999999</v>
      </c>
      <c r="J10" s="492">
        <v>36.37413875</v>
      </c>
      <c r="K10" s="492">
        <v>51.293316579999995</v>
      </c>
      <c r="L10" s="492">
        <v>48.849855740000002</v>
      </c>
      <c r="M10" s="492">
        <v>47.231950049999995</v>
      </c>
      <c r="N10" s="492">
        <v>42.026557920000002</v>
      </c>
      <c r="O10" s="492">
        <v>47.577775219999999</v>
      </c>
      <c r="P10" s="492">
        <v>47.596600909999999</v>
      </c>
      <c r="Q10" s="492">
        <v>57.103788810000005</v>
      </c>
      <c r="R10" s="492">
        <v>31.315478559999999</v>
      </c>
      <c r="S10" s="492">
        <v>46.54541047</v>
      </c>
      <c r="T10" s="492">
        <v>50.991246200000006</v>
      </c>
      <c r="U10" s="491">
        <f>(Table41[[#This Row],[Column14]]/$T$24)*100</f>
        <v>2.8783626905019775</v>
      </c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</row>
    <row r="11" spans="1:51" ht="14.5" customHeight="1" x14ac:dyDescent="0.25">
      <c r="A11" s="594"/>
      <c r="B11" s="177" t="s">
        <v>225</v>
      </c>
      <c r="C11" s="177">
        <v>1665.7749288800001</v>
      </c>
      <c r="D11" s="177">
        <v>1277.29794082998</v>
      </c>
      <c r="E11" s="177">
        <f t="shared" si="0"/>
        <v>388.47698805002005</v>
      </c>
      <c r="G11" s="490" t="s">
        <v>457</v>
      </c>
      <c r="H11" s="473">
        <v>24.813870899999998</v>
      </c>
      <c r="I11" s="473">
        <v>4.6766752300000007</v>
      </c>
      <c r="J11" s="473">
        <v>0.27271265</v>
      </c>
      <c r="K11" s="473">
        <v>1.539366</v>
      </c>
      <c r="L11" s="473">
        <v>1.3344708300000001</v>
      </c>
      <c r="M11" s="473">
        <v>2.78114968</v>
      </c>
      <c r="N11" s="473">
        <v>15.537919550000002</v>
      </c>
      <c r="O11" s="473">
        <v>26.163858780000002</v>
      </c>
      <c r="P11" s="473">
        <v>44.707471920000003</v>
      </c>
      <c r="Q11" s="473">
        <v>49.187676750000001</v>
      </c>
      <c r="R11" s="473">
        <v>30.947029329999999</v>
      </c>
      <c r="S11" s="473">
        <v>40.945913670000003</v>
      </c>
      <c r="T11" s="473">
        <v>45.461673810000001</v>
      </c>
      <c r="U11" s="489">
        <f>(Table41[[#This Row],[Column14]]/$T$24)*100</f>
        <v>2.5662284312336507</v>
      </c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</row>
    <row r="12" spans="1:51" ht="14.5" customHeight="1" x14ac:dyDescent="0.25">
      <c r="A12" s="594"/>
      <c r="B12" s="151" t="s">
        <v>226</v>
      </c>
      <c r="C12" s="151">
        <v>1922.2980805999998</v>
      </c>
      <c r="D12" s="151">
        <v>1303.92031478998</v>
      </c>
      <c r="E12" s="151">
        <f t="shared" si="0"/>
        <v>618.37776581001981</v>
      </c>
      <c r="G12" s="37" t="s">
        <v>469</v>
      </c>
      <c r="H12" s="473">
        <v>9.4494910900000004</v>
      </c>
      <c r="I12" s="473">
        <v>18.97720412</v>
      </c>
      <c r="J12" s="473">
        <v>12.272470910000001</v>
      </c>
      <c r="K12" s="473">
        <v>41.409460299999999</v>
      </c>
      <c r="L12" s="473">
        <v>10.09131131</v>
      </c>
      <c r="M12" s="473">
        <v>11.66042079</v>
      </c>
      <c r="N12" s="473">
        <v>12.24948343</v>
      </c>
      <c r="O12" s="473">
        <v>17.498423980000002</v>
      </c>
      <c r="P12" s="473">
        <v>32.277501659999999</v>
      </c>
      <c r="Q12" s="473">
        <v>25.170252120000001</v>
      </c>
      <c r="R12" s="473">
        <v>15.735056699999999</v>
      </c>
      <c r="S12" s="473">
        <v>27.987652870000002</v>
      </c>
      <c r="T12" s="473">
        <v>28.319245719999998</v>
      </c>
      <c r="U12" s="166">
        <f>(Table41[[#This Row],[Column14]]/$T$24)*100</f>
        <v>1.598569683586313</v>
      </c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</row>
    <row r="13" spans="1:51" ht="14.5" customHeight="1" x14ac:dyDescent="0.25">
      <c r="A13" s="594"/>
      <c r="B13" s="177" t="s">
        <v>227</v>
      </c>
      <c r="C13" s="177">
        <v>2247.0448950300001</v>
      </c>
      <c r="D13" s="177">
        <v>1454.6638963800001</v>
      </c>
      <c r="E13" s="177">
        <f t="shared" si="0"/>
        <v>792.38099865000004</v>
      </c>
      <c r="G13" s="37" t="s">
        <v>462</v>
      </c>
      <c r="H13" s="473">
        <v>23.412878280000001</v>
      </c>
      <c r="I13" s="473">
        <v>15.241569539999999</v>
      </c>
      <c r="J13" s="473">
        <v>11.625324839999999</v>
      </c>
      <c r="K13" s="473">
        <v>21.350871680000001</v>
      </c>
      <c r="L13" s="473">
        <v>17.275909559999999</v>
      </c>
      <c r="M13" s="473">
        <v>13.67720813</v>
      </c>
      <c r="N13" s="473">
        <v>8.2449044199999992</v>
      </c>
      <c r="O13" s="473">
        <v>15.38067012</v>
      </c>
      <c r="P13" s="473">
        <v>8.9067034899999999</v>
      </c>
      <c r="Q13" s="473">
        <v>11.34450698</v>
      </c>
      <c r="R13" s="473">
        <v>10.521573829999999</v>
      </c>
      <c r="S13" s="473">
        <v>12.167135480000001</v>
      </c>
      <c r="T13" s="473">
        <v>19.727223329999998</v>
      </c>
      <c r="U13" s="166">
        <f>(Table41[[#This Row],[Column14]]/$T$24)*100</f>
        <v>1.1135657167028046</v>
      </c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</row>
    <row r="14" spans="1:51" ht="14.5" customHeight="1" x14ac:dyDescent="0.25">
      <c r="A14" s="594"/>
      <c r="B14" s="151" t="s">
        <v>228</v>
      </c>
      <c r="C14" s="151">
        <v>1886.96601807</v>
      </c>
      <c r="D14" s="151">
        <v>1397.9791793299999</v>
      </c>
      <c r="E14" s="151">
        <f t="shared" si="0"/>
        <v>488.98683874000017</v>
      </c>
      <c r="G14" s="37" t="s">
        <v>455</v>
      </c>
      <c r="H14" s="473">
        <v>7.8078484800000005</v>
      </c>
      <c r="I14" s="473">
        <v>14.34063926</v>
      </c>
      <c r="J14" s="473">
        <v>5.4853235099999997</v>
      </c>
      <c r="K14" s="473">
        <v>9.3574512799999994</v>
      </c>
      <c r="L14" s="473">
        <v>4.1190215999999999</v>
      </c>
      <c r="M14" s="473">
        <v>8.6552807499999993</v>
      </c>
      <c r="N14" s="473">
        <v>17.343544789999999</v>
      </c>
      <c r="O14" s="473">
        <v>18.93812428</v>
      </c>
      <c r="P14" s="473">
        <v>10.872769439999999</v>
      </c>
      <c r="Q14" s="473">
        <v>5.7190020800000001</v>
      </c>
      <c r="R14" s="473">
        <v>5.5546293200000001</v>
      </c>
      <c r="S14" s="473">
        <v>8.38404405</v>
      </c>
      <c r="T14" s="473">
        <v>6.88875803</v>
      </c>
      <c r="U14" s="166">
        <f>(Table41[[#This Row],[Column14]]/$T$24)*100</f>
        <v>0.38885780550795596</v>
      </c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</row>
    <row r="15" spans="1:51" ht="14.5" customHeight="1" x14ac:dyDescent="0.25">
      <c r="A15" s="594"/>
      <c r="B15" s="177" t="s">
        <v>941</v>
      </c>
      <c r="C15" s="177">
        <v>1406.9053950299999</v>
      </c>
      <c r="D15" s="177">
        <v>1335.7826676499901</v>
      </c>
      <c r="E15" s="177">
        <f t="shared" si="0"/>
        <v>71.122727380009792</v>
      </c>
      <c r="G15" s="37" t="s">
        <v>466</v>
      </c>
      <c r="H15" s="473">
        <v>1.60776761</v>
      </c>
      <c r="I15" s="473">
        <v>3.3915340299999999</v>
      </c>
      <c r="J15" s="473">
        <v>0.59589097000000002</v>
      </c>
      <c r="K15" s="473">
        <v>2.2748884700000001</v>
      </c>
      <c r="L15" s="473">
        <v>2.9174157000000003</v>
      </c>
      <c r="M15" s="473">
        <v>2.7485979199999999</v>
      </c>
      <c r="N15" s="473">
        <v>1.9969942199999999</v>
      </c>
      <c r="O15" s="473">
        <v>3.0315888100000001</v>
      </c>
      <c r="P15" s="473">
        <v>3.3559632400000003</v>
      </c>
      <c r="Q15" s="473">
        <v>2.8093032599999996</v>
      </c>
      <c r="R15" s="473">
        <v>1.85822289</v>
      </c>
      <c r="S15" s="473">
        <v>2.74584166</v>
      </c>
      <c r="T15" s="473">
        <v>4.8279562599999997</v>
      </c>
      <c r="U15" s="166">
        <f>(Table41[[#This Row],[Column14]]/$T$24)*100</f>
        <v>0.27252931053407869</v>
      </c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</row>
    <row r="16" spans="1:51" ht="14.5" customHeight="1" x14ac:dyDescent="0.25">
      <c r="A16" s="594"/>
      <c r="B16" s="151" t="s">
        <v>230</v>
      </c>
      <c r="C16" s="151">
        <v>1737.080015</v>
      </c>
      <c r="D16" s="151">
        <v>1648.0784757400199</v>
      </c>
      <c r="E16" s="151">
        <f t="shared" si="0"/>
        <v>89.001539259980063</v>
      </c>
      <c r="G16" s="37" t="s">
        <v>464</v>
      </c>
      <c r="H16" s="473">
        <v>0.41659429999999997</v>
      </c>
      <c r="I16" s="473">
        <v>1.37255572</v>
      </c>
      <c r="J16" s="473">
        <v>0.62842930000000008</v>
      </c>
      <c r="K16" s="473">
        <v>1.0366524500000001</v>
      </c>
      <c r="L16" s="473">
        <v>0.39801544</v>
      </c>
      <c r="M16" s="473">
        <v>0.36774135999999996</v>
      </c>
      <c r="N16" s="473">
        <v>1.16365571</v>
      </c>
      <c r="O16" s="473">
        <v>3.4073981</v>
      </c>
      <c r="P16" s="473">
        <v>3.692418</v>
      </c>
      <c r="Q16" s="473">
        <v>1.7709266299999999</v>
      </c>
      <c r="R16" s="473">
        <v>0.54038731000000007</v>
      </c>
      <c r="S16" s="473">
        <v>1.40401548</v>
      </c>
      <c r="T16" s="473">
        <v>1.6591417500000001</v>
      </c>
      <c r="U16" s="166">
        <f>(Table41[[#This Row],[Column14]]/$T$24)*100</f>
        <v>9.3655520650016172E-2</v>
      </c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</row>
    <row r="17" spans="1:51" ht="14.5" customHeight="1" x14ac:dyDescent="0.25">
      <c r="A17" s="595"/>
      <c r="B17" s="176" t="s">
        <v>231</v>
      </c>
      <c r="C17" s="176">
        <v>1771.5365185999999</v>
      </c>
      <c r="D17" s="176">
        <v>1480.7945163699999</v>
      </c>
      <c r="E17" s="176">
        <f>C17-D17</f>
        <v>290.74200223000003</v>
      </c>
      <c r="G17" s="37" t="s">
        <v>463</v>
      </c>
      <c r="H17" s="473">
        <v>4.2197310199999993</v>
      </c>
      <c r="I17" s="473">
        <v>0.44068601000000002</v>
      </c>
      <c r="J17" s="473">
        <v>0.21138857</v>
      </c>
      <c r="K17" s="473">
        <v>1.0888217099999999</v>
      </c>
      <c r="L17" s="473">
        <v>0.18652276999999998</v>
      </c>
      <c r="M17" s="473">
        <v>0.84132485999999995</v>
      </c>
      <c r="N17" s="473">
        <v>8.1542259999999991E-2</v>
      </c>
      <c r="O17" s="473">
        <v>2.0543462400000001</v>
      </c>
      <c r="P17" s="473">
        <v>1.1761206100000001</v>
      </c>
      <c r="Q17" s="473">
        <v>8.7945694799999998</v>
      </c>
      <c r="R17" s="473">
        <v>0.85924739999999999</v>
      </c>
      <c r="S17" s="473">
        <v>3.5522005499999998</v>
      </c>
      <c r="T17" s="473">
        <v>1.1018156699999999</v>
      </c>
      <c r="U17" s="166">
        <f>(Table41[[#This Row],[Column14]]/$T$24)*100</f>
        <v>6.2195481630304576E-2</v>
      </c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</row>
    <row r="18" spans="1:51" ht="14.5" customHeight="1" x14ac:dyDescent="0.3">
      <c r="A18" s="488"/>
      <c r="B18" s="305" t="s">
        <v>442</v>
      </c>
      <c r="C18" s="175">
        <f>AVERAGE(C5:C17)</f>
        <v>1773.8789489938476</v>
      </c>
      <c r="D18" s="175">
        <f>AVERAGE(D5:D17)</f>
        <v>1448.0481329571485</v>
      </c>
      <c r="E18" s="174">
        <f>AVERAGE(E5:E17)</f>
        <v>325.83081603669922</v>
      </c>
      <c r="G18" s="37" t="s">
        <v>461</v>
      </c>
      <c r="H18" s="473">
        <v>0.64934685999999997</v>
      </c>
      <c r="I18" s="473">
        <v>1.7722116799999998</v>
      </c>
      <c r="J18" s="473">
        <v>0.87842388999999999</v>
      </c>
      <c r="K18" s="473">
        <v>0.83868003000000002</v>
      </c>
      <c r="L18" s="473">
        <v>2.3927003099999999</v>
      </c>
      <c r="M18" s="473">
        <v>0.67698789000000004</v>
      </c>
      <c r="N18" s="473">
        <v>1.08893174</v>
      </c>
      <c r="O18" s="473">
        <v>0.65734884999999998</v>
      </c>
      <c r="P18" s="473">
        <v>1.2164491100000001</v>
      </c>
      <c r="Q18" s="473">
        <v>2.8327021700000001</v>
      </c>
      <c r="R18" s="473">
        <v>0.35206746</v>
      </c>
      <c r="S18" s="473">
        <v>1.1065205</v>
      </c>
      <c r="T18" s="473">
        <v>0.64712593000000007</v>
      </c>
      <c r="U18" s="166">
        <f>(Table41[[#This Row],[Column14]]/$T$24)*100</f>
        <v>3.6529076494082512E-2</v>
      </c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</row>
    <row r="19" spans="1:51" ht="14.5" customHeight="1" x14ac:dyDescent="0.25">
      <c r="G19" s="37" t="s">
        <v>470</v>
      </c>
      <c r="H19" s="473">
        <v>0.16201409999999999</v>
      </c>
      <c r="I19" s="473">
        <v>44.83237647</v>
      </c>
      <c r="J19" s="473">
        <v>7.8538399999999994E-2</v>
      </c>
      <c r="K19" s="473">
        <v>0.31728903000000003</v>
      </c>
      <c r="L19" s="473">
        <v>2.6129346200000003</v>
      </c>
      <c r="M19" s="473">
        <v>0.10448958999999999</v>
      </c>
      <c r="N19" s="473">
        <v>0.33728390000000003</v>
      </c>
      <c r="O19" s="473">
        <v>7.0148880000000011E-2</v>
      </c>
      <c r="P19" s="473">
        <v>3.9928017400000004</v>
      </c>
      <c r="Q19" s="473">
        <v>0.77296681999999994</v>
      </c>
      <c r="R19" s="473">
        <v>0.13946633</v>
      </c>
      <c r="S19" s="473">
        <v>0.10048111</v>
      </c>
      <c r="T19" s="473">
        <v>0.43865160999999997</v>
      </c>
      <c r="U19" s="166">
        <f>(Table41[[#This Row],[Column14]]/$T$24)*100</f>
        <v>2.4761081998278832E-2</v>
      </c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</row>
    <row r="20" spans="1:51" ht="14.5" customHeight="1" x14ac:dyDescent="0.25">
      <c r="C20" s="18"/>
      <c r="D20" s="18"/>
      <c r="E20" s="35"/>
      <c r="G20" s="37" t="s">
        <v>456</v>
      </c>
      <c r="H20" s="473">
        <v>6.3501000000000002E-2</v>
      </c>
      <c r="I20" s="473">
        <v>0.85166460999999993</v>
      </c>
      <c r="J20" s="473">
        <v>0.30168429999999996</v>
      </c>
      <c r="K20" s="473">
        <v>0.47483280999999999</v>
      </c>
      <c r="L20" s="473">
        <v>0.41404296999999995</v>
      </c>
      <c r="M20" s="473">
        <v>6.486082E-2</v>
      </c>
      <c r="N20" s="473">
        <v>4.5579000000000001E-2</v>
      </c>
      <c r="O20" s="473">
        <v>2.7323400000000001E-2</v>
      </c>
      <c r="P20" s="473">
        <v>0.97784165000000001</v>
      </c>
      <c r="Q20" s="473">
        <v>0.83059700000000003</v>
      </c>
      <c r="R20" s="473">
        <v>0.21916574999999999</v>
      </c>
      <c r="S20" s="473">
        <v>1.10787608</v>
      </c>
      <c r="T20" s="473">
        <v>0.42162134999999995</v>
      </c>
      <c r="U20" s="166">
        <f>(Table41[[#This Row],[Column14]]/$T$24)*100</f>
        <v>2.3799754934388632E-2</v>
      </c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</row>
    <row r="21" spans="1:51" ht="14.5" customHeight="1" x14ac:dyDescent="0.25">
      <c r="C21" s="18"/>
      <c r="D21" s="18"/>
      <c r="E21" s="35"/>
      <c r="G21" s="37" t="s">
        <v>460</v>
      </c>
      <c r="H21" s="473">
        <v>0.14826057999999998</v>
      </c>
      <c r="I21" s="473">
        <v>3.6565879999999995E-2</v>
      </c>
      <c r="J21" s="473">
        <v>6.3738160000000002E-2</v>
      </c>
      <c r="K21" s="473">
        <v>4.0817289999999999E-2</v>
      </c>
      <c r="L21" s="473">
        <v>6.5413500000000005E-3</v>
      </c>
      <c r="M21" s="473">
        <v>6.6812289999999996E-2</v>
      </c>
      <c r="N21" s="473">
        <v>0.10416729</v>
      </c>
      <c r="O21" s="473">
        <v>8.0508049999999998E-2</v>
      </c>
      <c r="P21" s="473">
        <v>5.9106499999999999E-3</v>
      </c>
      <c r="Q21" s="473">
        <v>2.2534889999999998E-2</v>
      </c>
      <c r="R21" s="473">
        <v>4.7957150000000004E-2</v>
      </c>
      <c r="S21" s="473">
        <v>0.10910383999999999</v>
      </c>
      <c r="T21" s="473">
        <v>0.40390457000000002</v>
      </c>
      <c r="U21" s="166">
        <f>(Table41[[#This Row],[Column14]]/$T$24)*100</f>
        <v>2.2799675070723103E-2</v>
      </c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</row>
    <row r="22" spans="1:51" ht="14.5" customHeight="1" x14ac:dyDescent="0.25">
      <c r="A22" s="18"/>
      <c r="B22" s="18"/>
      <c r="C22" s="18"/>
      <c r="D22" s="18"/>
      <c r="E22" s="35"/>
      <c r="G22" s="37" t="s">
        <v>471</v>
      </c>
      <c r="H22" s="473">
        <v>0.56458388000000004</v>
      </c>
      <c r="I22" s="473">
        <v>8.3847320000000003E-2</v>
      </c>
      <c r="J22" s="473">
        <v>0.38841900000000001</v>
      </c>
      <c r="K22" s="473">
        <v>1.1751741200000001</v>
      </c>
      <c r="L22" s="473">
        <v>1.17076666</v>
      </c>
      <c r="M22" s="473">
        <v>4.8122E-3</v>
      </c>
      <c r="N22" s="473">
        <v>1.1967749999999999E-2</v>
      </c>
      <c r="O22" s="473">
        <v>1.94E-4</v>
      </c>
      <c r="P22" s="473">
        <v>4.651E-5</v>
      </c>
      <c r="Q22" s="473">
        <v>5.0557999999999999E-2</v>
      </c>
      <c r="R22" s="473">
        <v>1.06E-4</v>
      </c>
      <c r="S22" s="473">
        <v>3.209004E-2</v>
      </c>
      <c r="T22" s="473">
        <v>3.5757120000000003E-2</v>
      </c>
      <c r="U22" s="166">
        <f>(Table41[[#This Row],[Column14]]/$T$24)*100</f>
        <v>2.018424098209274E-3</v>
      </c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</row>
    <row r="23" spans="1:51" ht="14.5" customHeight="1" x14ac:dyDescent="0.25">
      <c r="A23" s="18"/>
      <c r="B23" s="18"/>
      <c r="C23" s="18"/>
      <c r="D23" s="18"/>
      <c r="E23" s="35"/>
      <c r="G23" s="37" t="s">
        <v>454</v>
      </c>
      <c r="H23" s="473">
        <v>0</v>
      </c>
      <c r="I23" s="473">
        <v>4.7106400000000003E-3</v>
      </c>
      <c r="J23" s="473">
        <v>8.4501419999999994E-2</v>
      </c>
      <c r="K23" s="473">
        <v>3.3976999999999998E-4</v>
      </c>
      <c r="L23" s="473">
        <v>0</v>
      </c>
      <c r="M23" s="473">
        <v>8.6912800000000009E-3</v>
      </c>
      <c r="N23" s="473">
        <v>1.0469020000000001E-2</v>
      </c>
      <c r="O23" s="473">
        <v>2.582887E-2</v>
      </c>
      <c r="P23" s="473">
        <v>4.2727769999999998E-2</v>
      </c>
      <c r="Q23" s="473">
        <v>0</v>
      </c>
      <c r="R23" s="473">
        <v>0</v>
      </c>
      <c r="S23" s="473">
        <v>1.6500000000000001E-2</v>
      </c>
      <c r="T23" s="473">
        <v>2.2000000000000001E-4</v>
      </c>
      <c r="U23" s="166">
        <f>(Table41[[#This Row],[Column14]]/$T$24)*100</f>
        <v>1.2418598075181677E-5</v>
      </c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</row>
    <row r="24" spans="1:51" ht="14.5" customHeight="1" x14ac:dyDescent="0.3">
      <c r="A24" s="18"/>
      <c r="B24" s="18"/>
      <c r="C24" s="18"/>
      <c r="D24" s="18"/>
      <c r="E24" s="35"/>
      <c r="G24" s="387" t="s">
        <v>217</v>
      </c>
      <c r="H24" s="372">
        <f t="shared" ref="H24:U24" si="1">SUM(H6:H23)</f>
        <v>1505.6488102699993</v>
      </c>
      <c r="I24" s="372">
        <f t="shared" si="1"/>
        <v>2087.8811565499996</v>
      </c>
      <c r="J24" s="372">
        <f t="shared" si="1"/>
        <v>1733.4592990500003</v>
      </c>
      <c r="K24" s="372">
        <f t="shared" si="1"/>
        <v>1608.3100656100003</v>
      </c>
      <c r="L24" s="372">
        <f t="shared" si="1"/>
        <v>1765.6799966200003</v>
      </c>
      <c r="M24" s="372">
        <f t="shared" si="1"/>
        <v>1721.8411576099998</v>
      </c>
      <c r="N24" s="372">
        <f t="shared" si="1"/>
        <v>1665.7749288800003</v>
      </c>
      <c r="O24" s="372">
        <f t="shared" si="1"/>
        <v>1922.2980806</v>
      </c>
      <c r="P24" s="372">
        <f t="shared" si="1"/>
        <v>2247.0448950299997</v>
      </c>
      <c r="Q24" s="372">
        <f t="shared" si="1"/>
        <v>1886.9660180700002</v>
      </c>
      <c r="R24" s="372">
        <f t="shared" si="1"/>
        <v>1406.9053950300001</v>
      </c>
      <c r="S24" s="372">
        <f t="shared" si="1"/>
        <v>1737.080015</v>
      </c>
      <c r="T24" s="372">
        <f t="shared" si="1"/>
        <v>1771.5365185999995</v>
      </c>
      <c r="U24" s="472">
        <f t="shared" si="1"/>
        <v>100.00000000000006</v>
      </c>
      <c r="AM24" s="20"/>
    </row>
    <row r="25" spans="1:51" ht="14.5" customHeight="1" x14ac:dyDescent="0.25">
      <c r="A25" s="18"/>
      <c r="B25" s="18"/>
      <c r="C25" s="18"/>
      <c r="D25" s="18"/>
      <c r="E25" s="35"/>
      <c r="AM25" s="20"/>
    </row>
    <row r="26" spans="1:51" ht="14.5" customHeight="1" x14ac:dyDescent="0.3">
      <c r="A26" s="18"/>
      <c r="B26" s="18"/>
      <c r="C26" s="18"/>
      <c r="D26" s="18"/>
      <c r="E26" s="35"/>
      <c r="G26" s="592" t="s">
        <v>1007</v>
      </c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AM26" s="20"/>
    </row>
    <row r="27" spans="1:51" ht="13" x14ac:dyDescent="0.3">
      <c r="A27" s="18"/>
      <c r="B27" s="18"/>
      <c r="C27" s="18"/>
      <c r="D27" s="18"/>
      <c r="E27" s="35"/>
      <c r="G27" s="561" t="s">
        <v>424</v>
      </c>
      <c r="H27" s="539">
        <v>2024</v>
      </c>
      <c r="I27" s="541"/>
      <c r="J27" s="539">
        <v>2025</v>
      </c>
      <c r="K27" s="540"/>
      <c r="L27" s="540"/>
      <c r="M27" s="540"/>
      <c r="N27" s="540"/>
      <c r="O27" s="540"/>
      <c r="P27" s="540"/>
      <c r="Q27" s="540"/>
      <c r="R27" s="540"/>
      <c r="S27" s="540"/>
      <c r="T27" s="541"/>
      <c r="U27" s="487" t="s">
        <v>1006</v>
      </c>
      <c r="AM27" s="20"/>
    </row>
    <row r="28" spans="1:51" s="11" customFormat="1" ht="13" x14ac:dyDescent="0.3">
      <c r="A28" s="18"/>
      <c r="B28" s="18"/>
      <c r="C28" s="18"/>
      <c r="D28" s="96"/>
      <c r="E28" s="35"/>
      <c r="G28" s="562"/>
      <c r="H28" s="26" t="s">
        <v>231</v>
      </c>
      <c r="I28" s="26" t="s">
        <v>232</v>
      </c>
      <c r="J28" s="26" t="s">
        <v>221</v>
      </c>
      <c r="K28" s="26" t="s">
        <v>222</v>
      </c>
      <c r="L28" s="26" t="s">
        <v>223</v>
      </c>
      <c r="M28" s="26" t="s">
        <v>224</v>
      </c>
      <c r="N28" s="26" t="s">
        <v>225</v>
      </c>
      <c r="O28" s="26" t="s">
        <v>226</v>
      </c>
      <c r="P28" s="26" t="s">
        <v>227</v>
      </c>
      <c r="Q28" s="26" t="s">
        <v>228</v>
      </c>
      <c r="R28" s="26" t="s">
        <v>941</v>
      </c>
      <c r="S28" s="26" t="s">
        <v>230</v>
      </c>
      <c r="T28" s="26" t="s">
        <v>231</v>
      </c>
      <c r="U28" s="486" t="s">
        <v>472</v>
      </c>
      <c r="X28" s="485"/>
      <c r="Y28" s="485"/>
      <c r="Z28" s="485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M28" s="20"/>
    </row>
    <row r="29" spans="1:51" ht="12.5" x14ac:dyDescent="0.25">
      <c r="A29" s="18"/>
      <c r="B29" s="18"/>
      <c r="C29" s="18"/>
      <c r="D29" s="18"/>
      <c r="E29" s="35"/>
      <c r="G29" s="484" t="s">
        <v>470</v>
      </c>
      <c r="H29" s="483">
        <v>182.38353213000102</v>
      </c>
      <c r="I29" s="483">
        <v>161.31501208</v>
      </c>
      <c r="J29" s="483">
        <v>191.48503453999999</v>
      </c>
      <c r="K29" s="483">
        <v>227.14521134999998</v>
      </c>
      <c r="L29" s="483">
        <v>160.19568812</v>
      </c>
      <c r="M29" s="483">
        <v>95.575929770000101</v>
      </c>
      <c r="N29" s="483">
        <v>196.97136569999998</v>
      </c>
      <c r="O29" s="483">
        <v>208.16977058000001</v>
      </c>
      <c r="P29" s="483">
        <v>282.53517061000002</v>
      </c>
      <c r="Q29" s="483">
        <v>220.16472005</v>
      </c>
      <c r="R29" s="483">
        <v>157.48166743000002</v>
      </c>
      <c r="S29" s="483">
        <v>195.01629516</v>
      </c>
      <c r="T29" s="483">
        <v>204.53124730000002</v>
      </c>
      <c r="U29" s="482">
        <f t="shared" ref="U29:U46" si="2">(T29/$T$47)*100</f>
        <v>13.81226395957928</v>
      </c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</row>
    <row r="30" spans="1:51" ht="12.5" x14ac:dyDescent="0.25">
      <c r="A30" s="18"/>
      <c r="B30" s="18"/>
      <c r="C30" s="18"/>
      <c r="D30" s="18"/>
      <c r="E30" s="35"/>
      <c r="G30" s="476" t="s">
        <v>466</v>
      </c>
      <c r="H30" s="473">
        <v>151.95580274</v>
      </c>
      <c r="I30" s="473">
        <v>126.47009632</v>
      </c>
      <c r="J30" s="473">
        <v>94.342523230000296</v>
      </c>
      <c r="K30" s="473">
        <v>106.19278759999999</v>
      </c>
      <c r="L30" s="473">
        <v>123.38013814</v>
      </c>
      <c r="M30" s="473">
        <v>101.66038090000001</v>
      </c>
      <c r="N30" s="473">
        <v>107.97771751000001</v>
      </c>
      <c r="O30" s="473">
        <v>106.70739116</v>
      </c>
      <c r="P30" s="473">
        <v>122.26963692</v>
      </c>
      <c r="Q30" s="473">
        <v>125.2743148</v>
      </c>
      <c r="R30" s="473">
        <v>76.719059260000094</v>
      </c>
      <c r="S30" s="473">
        <v>137.66633608000001</v>
      </c>
      <c r="T30" s="473">
        <v>141.91797500000001</v>
      </c>
      <c r="U30" s="162">
        <f t="shared" si="2"/>
        <v>9.5839073842531306</v>
      </c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</row>
    <row r="31" spans="1:51" s="32" customFormat="1" ht="12.5" x14ac:dyDescent="0.25">
      <c r="A31" s="18"/>
      <c r="B31" s="18"/>
      <c r="C31" s="18"/>
      <c r="D31" s="171"/>
      <c r="E31" s="35"/>
      <c r="G31" s="481" t="s">
        <v>471</v>
      </c>
      <c r="H31" s="475">
        <v>434.86010349000003</v>
      </c>
      <c r="I31" s="475">
        <v>223.910587620001</v>
      </c>
      <c r="J31" s="475">
        <v>407.60065967000003</v>
      </c>
      <c r="K31" s="475">
        <v>333.12557143999999</v>
      </c>
      <c r="L31" s="475">
        <v>311.96039274999998</v>
      </c>
      <c r="M31" s="475">
        <v>229.81903697999999</v>
      </c>
      <c r="N31" s="475">
        <v>85.853713519999999</v>
      </c>
      <c r="O31" s="475">
        <v>188.77191453999998</v>
      </c>
      <c r="P31" s="475">
        <v>124.30129982</v>
      </c>
      <c r="Q31" s="475">
        <v>150.55732953</v>
      </c>
      <c r="R31" s="475">
        <v>432.72646233</v>
      </c>
      <c r="S31" s="475">
        <v>282.13343764000001</v>
      </c>
      <c r="T31" s="475">
        <v>130.0224681</v>
      </c>
      <c r="U31" s="474">
        <f t="shared" si="2"/>
        <v>8.7805881682176423</v>
      </c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</row>
    <row r="32" spans="1:51" s="32" customFormat="1" ht="12.5" x14ac:dyDescent="0.25">
      <c r="A32" s="18"/>
      <c r="B32" s="18"/>
      <c r="C32" s="171"/>
      <c r="D32" s="171"/>
      <c r="E32" s="480"/>
      <c r="G32" s="21" t="s">
        <v>464</v>
      </c>
      <c r="H32" s="473">
        <v>131.58620255</v>
      </c>
      <c r="I32" s="473">
        <v>108.318883</v>
      </c>
      <c r="J32" s="473">
        <v>79.87258131999991</v>
      </c>
      <c r="K32" s="473">
        <v>82.556179529999994</v>
      </c>
      <c r="L32" s="473">
        <v>78.538797683000098</v>
      </c>
      <c r="M32" s="473">
        <v>86.609605950000102</v>
      </c>
      <c r="N32" s="473">
        <v>105.21420439000001</v>
      </c>
      <c r="O32" s="473">
        <v>87.146322740000286</v>
      </c>
      <c r="P32" s="473">
        <v>99.929602730000411</v>
      </c>
      <c r="Q32" s="473">
        <v>102.10857159</v>
      </c>
      <c r="R32" s="473">
        <v>66.195474329999797</v>
      </c>
      <c r="S32" s="473">
        <v>128.09874184999998</v>
      </c>
      <c r="T32" s="473">
        <v>127.16535888</v>
      </c>
      <c r="U32" s="162">
        <f t="shared" si="2"/>
        <v>8.5876438272969402</v>
      </c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</row>
    <row r="33" spans="1:51" s="32" customFormat="1" ht="12.5" x14ac:dyDescent="0.25">
      <c r="A33" s="18"/>
      <c r="B33" s="18"/>
      <c r="C33" s="171"/>
      <c r="G33" s="479" t="s">
        <v>463</v>
      </c>
      <c r="H33" s="478">
        <v>94.874692110000098</v>
      </c>
      <c r="I33" s="478">
        <v>112.33492706999999</v>
      </c>
      <c r="J33" s="478">
        <v>101.35590679000001</v>
      </c>
      <c r="K33" s="478">
        <v>88.702537420000112</v>
      </c>
      <c r="L33" s="478">
        <v>93.81626768000001</v>
      </c>
      <c r="M33" s="478">
        <v>100.87154165000001</v>
      </c>
      <c r="N33" s="478">
        <v>93.480804369999902</v>
      </c>
      <c r="O33" s="478">
        <v>87.778948349999993</v>
      </c>
      <c r="P33" s="478">
        <v>115.44120479</v>
      </c>
      <c r="Q33" s="478">
        <v>99.862257899999804</v>
      </c>
      <c r="R33" s="478">
        <v>56.812743910000101</v>
      </c>
      <c r="S33" s="478">
        <v>104.13881723999999</v>
      </c>
      <c r="T33" s="478">
        <v>123.39883851</v>
      </c>
      <c r="U33" s="477">
        <f t="shared" si="2"/>
        <v>8.3332857561154512</v>
      </c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</row>
    <row r="34" spans="1:51" s="32" customFormat="1" ht="12.5" x14ac:dyDescent="0.25">
      <c r="A34" s="18"/>
      <c r="B34" s="18"/>
      <c r="C34" s="18"/>
      <c r="G34" s="476" t="s">
        <v>467</v>
      </c>
      <c r="H34" s="473">
        <v>122.58871892000001</v>
      </c>
      <c r="I34" s="473">
        <v>101.61938729000001</v>
      </c>
      <c r="J34" s="473">
        <v>81.6530384900001</v>
      </c>
      <c r="K34" s="473">
        <v>101.56805860999999</v>
      </c>
      <c r="L34" s="473">
        <v>105.30132243000001</v>
      </c>
      <c r="M34" s="473">
        <v>96.970918950000112</v>
      </c>
      <c r="N34" s="473">
        <v>121.78218409999999</v>
      </c>
      <c r="O34" s="473">
        <v>103.01299601000001</v>
      </c>
      <c r="P34" s="473">
        <v>135.40307758</v>
      </c>
      <c r="Q34" s="473">
        <v>111.45557069</v>
      </c>
      <c r="R34" s="473">
        <v>77.14904417000011</v>
      </c>
      <c r="S34" s="473">
        <v>116.91988897</v>
      </c>
      <c r="T34" s="473">
        <v>120.076603890001</v>
      </c>
      <c r="U34" s="455">
        <f t="shared" si="2"/>
        <v>8.1089308855866822</v>
      </c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</row>
    <row r="35" spans="1:51" ht="14.5" customHeight="1" x14ac:dyDescent="0.25">
      <c r="B35" s="18"/>
      <c r="C35" s="18"/>
      <c r="G35" s="393" t="s">
        <v>469</v>
      </c>
      <c r="H35" s="475">
        <v>153.82025683000001</v>
      </c>
      <c r="I35" s="475">
        <v>121.78897128</v>
      </c>
      <c r="J35" s="475">
        <v>119.11086526000001</v>
      </c>
      <c r="K35" s="475">
        <v>115.66965939000001</v>
      </c>
      <c r="L35" s="475">
        <v>76.819359050000003</v>
      </c>
      <c r="M35" s="475">
        <v>78.946756890000003</v>
      </c>
      <c r="N35" s="475">
        <v>96.2685812900001</v>
      </c>
      <c r="O35" s="475">
        <v>95.6126039399999</v>
      </c>
      <c r="P35" s="475">
        <v>111.50985206</v>
      </c>
      <c r="Q35" s="475">
        <v>113.20920103</v>
      </c>
      <c r="R35" s="475">
        <v>81.520540740000001</v>
      </c>
      <c r="S35" s="475">
        <v>104.44740429000001</v>
      </c>
      <c r="T35" s="475">
        <v>109.37048152</v>
      </c>
      <c r="U35" s="474">
        <f t="shared" si="2"/>
        <v>7.3859323701514796</v>
      </c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</row>
    <row r="36" spans="1:51" ht="14.5" customHeight="1" x14ac:dyDescent="0.25">
      <c r="B36" s="18"/>
      <c r="C36" s="18"/>
      <c r="G36" s="21" t="s">
        <v>468</v>
      </c>
      <c r="H36" s="473">
        <v>69.512635519999989</v>
      </c>
      <c r="I36" s="473">
        <v>96.416653640000007</v>
      </c>
      <c r="J36" s="473">
        <v>76.280139340000005</v>
      </c>
      <c r="K36" s="473">
        <v>48.591157289999998</v>
      </c>
      <c r="L36" s="473">
        <v>71.264217900000006</v>
      </c>
      <c r="M36" s="473">
        <v>58.867327840000002</v>
      </c>
      <c r="N36" s="473">
        <v>75.661945160000002</v>
      </c>
      <c r="O36" s="473">
        <v>56.662260420000003</v>
      </c>
      <c r="P36" s="473">
        <v>71.047925370000002</v>
      </c>
      <c r="Q36" s="473">
        <v>60.597579659999994</v>
      </c>
      <c r="R36" s="473">
        <v>78.820293939999999</v>
      </c>
      <c r="S36" s="473">
        <v>112.91071776999999</v>
      </c>
      <c r="T36" s="473">
        <v>98.517161040000005</v>
      </c>
      <c r="U36" s="162">
        <f t="shared" si="2"/>
        <v>6.6529933728754997</v>
      </c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</row>
    <row r="37" spans="1:51" ht="14.5" customHeight="1" x14ac:dyDescent="0.25">
      <c r="G37" s="393" t="s">
        <v>461</v>
      </c>
      <c r="H37" s="475">
        <v>116.71200963</v>
      </c>
      <c r="I37" s="475">
        <v>88.020770229999798</v>
      </c>
      <c r="J37" s="475">
        <v>85.967860810000005</v>
      </c>
      <c r="K37" s="475">
        <v>73.356287739999999</v>
      </c>
      <c r="L37" s="475">
        <v>75.427141860000106</v>
      </c>
      <c r="M37" s="475">
        <v>66.891837549999906</v>
      </c>
      <c r="N37" s="475">
        <v>72.779813379999993</v>
      </c>
      <c r="O37" s="475">
        <v>72.585886119999898</v>
      </c>
      <c r="P37" s="475">
        <v>75.312927599999995</v>
      </c>
      <c r="Q37" s="475">
        <v>84.004141609999891</v>
      </c>
      <c r="R37" s="475">
        <v>44.702917569999997</v>
      </c>
      <c r="S37" s="475">
        <v>92.792496820000096</v>
      </c>
      <c r="T37" s="475">
        <v>92.561320779999903</v>
      </c>
      <c r="U37" s="474">
        <f t="shared" si="2"/>
        <v>6.250787651949401</v>
      </c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</row>
    <row r="38" spans="1:51" ht="14.5" customHeight="1" x14ac:dyDescent="0.25">
      <c r="G38" s="21" t="s">
        <v>458</v>
      </c>
      <c r="H38" s="473">
        <v>88.192948569999899</v>
      </c>
      <c r="I38" s="473">
        <v>89.660652470000002</v>
      </c>
      <c r="J38" s="473">
        <v>27.920335269999899</v>
      </c>
      <c r="K38" s="473">
        <v>55.767664859999996</v>
      </c>
      <c r="L38" s="473">
        <v>63.016438640000004</v>
      </c>
      <c r="M38" s="473">
        <v>49.301546200000004</v>
      </c>
      <c r="N38" s="473">
        <v>45.956522590000006</v>
      </c>
      <c r="O38" s="473">
        <v>40.471518359999997</v>
      </c>
      <c r="P38" s="473">
        <v>44.803766719999999</v>
      </c>
      <c r="Q38" s="473">
        <v>39.246828130000004</v>
      </c>
      <c r="R38" s="473">
        <v>21.281244170000001</v>
      </c>
      <c r="S38" s="473">
        <v>60.295765450000005</v>
      </c>
      <c r="T38" s="473">
        <v>58.737227120000099</v>
      </c>
      <c r="U38" s="162">
        <f t="shared" si="2"/>
        <v>3.9666021497694159</v>
      </c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</row>
    <row r="39" spans="1:51" ht="14.5" customHeight="1" x14ac:dyDescent="0.25">
      <c r="G39" s="393" t="s">
        <v>460</v>
      </c>
      <c r="H39" s="475">
        <v>49.962986500000099</v>
      </c>
      <c r="I39" s="475">
        <v>43.19155568</v>
      </c>
      <c r="J39" s="475">
        <v>35.989867429999904</v>
      </c>
      <c r="K39" s="475">
        <v>33.771069439999998</v>
      </c>
      <c r="L39" s="475">
        <v>45.989590820000004</v>
      </c>
      <c r="M39" s="475">
        <v>39.343978979999996</v>
      </c>
      <c r="N39" s="475">
        <v>47.092006270000006</v>
      </c>
      <c r="O39" s="475">
        <v>39.082422719999997</v>
      </c>
      <c r="P39" s="475">
        <v>55.459984849999898</v>
      </c>
      <c r="Q39" s="475">
        <v>55.076364040000001</v>
      </c>
      <c r="R39" s="475">
        <v>41.481761830000103</v>
      </c>
      <c r="S39" s="475">
        <v>51.362716299999903</v>
      </c>
      <c r="T39" s="475">
        <v>58.077315690000098</v>
      </c>
      <c r="U39" s="474">
        <f t="shared" si="2"/>
        <v>3.9220374635347786</v>
      </c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</row>
    <row r="40" spans="1:51" ht="14.5" customHeight="1" x14ac:dyDescent="0.25">
      <c r="G40" s="21" t="s">
        <v>459</v>
      </c>
      <c r="H40" s="473">
        <v>46.932238979999994</v>
      </c>
      <c r="I40" s="473">
        <v>41.001526069999997</v>
      </c>
      <c r="J40" s="473">
        <v>38.5752922100001</v>
      </c>
      <c r="K40" s="473">
        <v>42.815446399999999</v>
      </c>
      <c r="L40" s="473">
        <v>40.792668850000204</v>
      </c>
      <c r="M40" s="473">
        <v>40.316741290000103</v>
      </c>
      <c r="N40" s="473">
        <v>40.5036694900001</v>
      </c>
      <c r="O40" s="473">
        <v>35.855418100000001</v>
      </c>
      <c r="P40" s="473">
        <v>43.885959750000097</v>
      </c>
      <c r="Q40" s="473">
        <v>44.625768800000301</v>
      </c>
      <c r="R40" s="473">
        <v>31.67342185</v>
      </c>
      <c r="S40" s="473">
        <v>50.773989590000198</v>
      </c>
      <c r="T40" s="473">
        <v>47.456688510000198</v>
      </c>
      <c r="U40" s="162">
        <f t="shared" si="2"/>
        <v>3.2048125506525271</v>
      </c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</row>
    <row r="41" spans="1:51" ht="14.5" customHeight="1" x14ac:dyDescent="0.25">
      <c r="G41" s="393" t="s">
        <v>465</v>
      </c>
      <c r="H41" s="475">
        <v>37.186544130000001</v>
      </c>
      <c r="I41" s="475">
        <v>25.221550300000001</v>
      </c>
      <c r="J41" s="475">
        <v>48.555269989999999</v>
      </c>
      <c r="K41" s="475">
        <v>38.026820360000002</v>
      </c>
      <c r="L41" s="475">
        <v>36.138869369999995</v>
      </c>
      <c r="M41" s="475">
        <v>42.554671290000002</v>
      </c>
      <c r="N41" s="475">
        <v>50.692289270000003</v>
      </c>
      <c r="O41" s="475">
        <v>61.733041659999998</v>
      </c>
      <c r="P41" s="475">
        <v>46.725126530000004</v>
      </c>
      <c r="Q41" s="475">
        <v>55.59448982</v>
      </c>
      <c r="R41" s="475">
        <v>72.6889039</v>
      </c>
      <c r="S41" s="475">
        <v>61.430596899999998</v>
      </c>
      <c r="T41" s="475">
        <v>42.553364509999994</v>
      </c>
      <c r="U41" s="474">
        <f t="shared" si="2"/>
        <v>2.8736846361583446</v>
      </c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</row>
    <row r="42" spans="1:51" ht="14.5" customHeight="1" x14ac:dyDescent="0.25">
      <c r="G42" s="21" t="s">
        <v>456</v>
      </c>
      <c r="H42" s="473">
        <v>33.872702420000003</v>
      </c>
      <c r="I42" s="473">
        <v>28.101336460000002</v>
      </c>
      <c r="J42" s="473">
        <v>23.319978210000002</v>
      </c>
      <c r="K42" s="473">
        <v>26.516205120000002</v>
      </c>
      <c r="L42" s="473">
        <v>32.550548159999998</v>
      </c>
      <c r="M42" s="473">
        <v>26.422515920000002</v>
      </c>
      <c r="N42" s="473">
        <v>28.366822600000003</v>
      </c>
      <c r="O42" s="473">
        <v>31.469473140000002</v>
      </c>
      <c r="P42" s="473">
        <v>34.095347240000002</v>
      </c>
      <c r="Q42" s="473">
        <v>32.216702570000002</v>
      </c>
      <c r="R42" s="473">
        <v>18.16986661</v>
      </c>
      <c r="S42" s="473">
        <v>38.85380911</v>
      </c>
      <c r="T42" s="473">
        <v>41.232808900000002</v>
      </c>
      <c r="U42" s="162">
        <f t="shared" si="2"/>
        <v>2.7845057801184678</v>
      </c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</row>
    <row r="43" spans="1:51" ht="14.5" customHeight="1" x14ac:dyDescent="0.25">
      <c r="G43" s="393" t="s">
        <v>457</v>
      </c>
      <c r="H43" s="475">
        <v>28.102817680000101</v>
      </c>
      <c r="I43" s="475">
        <v>38.167303239999896</v>
      </c>
      <c r="J43" s="475">
        <v>44.4847658300001</v>
      </c>
      <c r="K43" s="475">
        <v>45.285500619999901</v>
      </c>
      <c r="L43" s="475">
        <v>51.4516806500001</v>
      </c>
      <c r="M43" s="475">
        <v>50.1307155900002</v>
      </c>
      <c r="N43" s="475">
        <v>47.517697750000202</v>
      </c>
      <c r="O43" s="475">
        <v>27.622819460000102</v>
      </c>
      <c r="P43" s="475">
        <v>33.8310247900002</v>
      </c>
      <c r="Q43" s="475">
        <v>32.845263280000196</v>
      </c>
      <c r="R43" s="475">
        <v>19.416473359999998</v>
      </c>
      <c r="S43" s="475">
        <v>32.765952700000199</v>
      </c>
      <c r="T43" s="475">
        <v>36.864749689999996</v>
      </c>
      <c r="U43" s="474">
        <f t="shared" si="2"/>
        <v>2.4895250004281295</v>
      </c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</row>
    <row r="44" spans="1:51" ht="14.5" customHeight="1" x14ac:dyDescent="0.25">
      <c r="F44" s="18"/>
      <c r="G44" s="21" t="s">
        <v>462</v>
      </c>
      <c r="H44" s="473">
        <v>69.145298659999995</v>
      </c>
      <c r="I44" s="473">
        <v>45.428359439999994</v>
      </c>
      <c r="J44" s="473">
        <v>37.14285443</v>
      </c>
      <c r="K44" s="473">
        <v>49.600757000000002</v>
      </c>
      <c r="L44" s="473">
        <v>55.853806859999999</v>
      </c>
      <c r="M44" s="473">
        <v>36.54847367</v>
      </c>
      <c r="N44" s="473">
        <v>50.554074799999995</v>
      </c>
      <c r="O44" s="473">
        <v>48.401121349999897</v>
      </c>
      <c r="P44" s="473">
        <v>46.32875233</v>
      </c>
      <c r="Q44" s="473">
        <v>63.174532499999998</v>
      </c>
      <c r="R44" s="473">
        <v>49.572024689999999</v>
      </c>
      <c r="S44" s="473">
        <v>63.221681770000004</v>
      </c>
      <c r="T44" s="473">
        <v>29.949837850000002</v>
      </c>
      <c r="U44" s="162">
        <f t="shared" si="2"/>
        <v>2.0225519151312503</v>
      </c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</row>
    <row r="45" spans="1:51" ht="14.5" customHeight="1" x14ac:dyDescent="0.25">
      <c r="F45" s="18"/>
      <c r="G45" s="393" t="s">
        <v>455</v>
      </c>
      <c r="H45" s="475">
        <v>15.528762039999998</v>
      </c>
      <c r="I45" s="475">
        <v>15.14120447</v>
      </c>
      <c r="J45" s="475">
        <v>9.7637194000000012</v>
      </c>
      <c r="K45" s="475">
        <v>18.72284252</v>
      </c>
      <c r="L45" s="475">
        <v>6.76820311</v>
      </c>
      <c r="M45" s="475">
        <v>7.3331255400000002</v>
      </c>
      <c r="N45" s="475">
        <v>8.4380970000000008</v>
      </c>
      <c r="O45" s="475">
        <v>12.7736924</v>
      </c>
      <c r="P45" s="475">
        <v>9.3171402100000016</v>
      </c>
      <c r="Q45" s="475">
        <v>7.1783791300000104</v>
      </c>
      <c r="R45" s="475">
        <v>9.1982258800000007</v>
      </c>
      <c r="S45" s="475">
        <v>9.9776255000000003</v>
      </c>
      <c r="T45" s="475">
        <v>14.504456509999999</v>
      </c>
      <c r="U45" s="474">
        <f t="shared" si="2"/>
        <v>0.97950501231973874</v>
      </c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</row>
    <row r="46" spans="1:51" ht="14.5" customHeight="1" x14ac:dyDescent="0.25">
      <c r="F46" s="18"/>
      <c r="G46" s="21" t="s">
        <v>454</v>
      </c>
      <c r="H46" s="473">
        <v>1.8378938899999999</v>
      </c>
      <c r="I46" s="473">
        <v>0.51112561000000001</v>
      </c>
      <c r="J46" s="473">
        <v>0.28529524000000001</v>
      </c>
      <c r="K46" s="473">
        <v>0.26452907000000003</v>
      </c>
      <c r="L46" s="473">
        <v>1.4312807299999999</v>
      </c>
      <c r="M46" s="473">
        <v>0.18689731000000001</v>
      </c>
      <c r="N46" s="473">
        <v>2.1864316400000003</v>
      </c>
      <c r="O46" s="473">
        <v>6.2713740000000004E-2</v>
      </c>
      <c r="P46" s="473">
        <v>2.46609648</v>
      </c>
      <c r="Q46" s="473">
        <v>0.78716419999999998</v>
      </c>
      <c r="R46" s="473">
        <v>0.17254168</v>
      </c>
      <c r="S46" s="473">
        <v>5.2722026</v>
      </c>
      <c r="T46" s="473">
        <v>3.8566125699999998</v>
      </c>
      <c r="U46" s="162">
        <f t="shared" si="2"/>
        <v>0.26044211586183103</v>
      </c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</row>
    <row r="47" spans="1:51" ht="14.5" customHeight="1" x14ac:dyDescent="0.3">
      <c r="A47" s="32"/>
      <c r="B47" s="32"/>
      <c r="C47" s="32"/>
      <c r="D47" s="32"/>
      <c r="E47" s="32"/>
      <c r="F47" s="171"/>
      <c r="G47" s="387" t="s">
        <v>217</v>
      </c>
      <c r="H47" s="372">
        <f t="shared" ref="H47:U47" si="3">SUM(H29:H46)</f>
        <v>1829.0561467900013</v>
      </c>
      <c r="I47" s="372">
        <f t="shared" si="3"/>
        <v>1466.6199022700007</v>
      </c>
      <c r="J47" s="372">
        <f t="shared" si="3"/>
        <v>1503.7059874600002</v>
      </c>
      <c r="K47" s="372">
        <f t="shared" si="3"/>
        <v>1487.6782857600001</v>
      </c>
      <c r="L47" s="372">
        <f t="shared" si="3"/>
        <v>1430.6964128030008</v>
      </c>
      <c r="M47" s="372">
        <f t="shared" si="3"/>
        <v>1208.3520022700004</v>
      </c>
      <c r="N47" s="372">
        <f t="shared" si="3"/>
        <v>1277.29794083</v>
      </c>
      <c r="O47" s="372">
        <f t="shared" si="3"/>
        <v>1303.92031479</v>
      </c>
      <c r="P47" s="372">
        <f t="shared" si="3"/>
        <v>1454.6638963800006</v>
      </c>
      <c r="Q47" s="372">
        <f t="shared" si="3"/>
        <v>1397.9791793300003</v>
      </c>
      <c r="R47" s="372">
        <f t="shared" si="3"/>
        <v>1335.7826676500006</v>
      </c>
      <c r="S47" s="372">
        <f t="shared" si="3"/>
        <v>1648.0784757400002</v>
      </c>
      <c r="T47" s="372">
        <f t="shared" si="3"/>
        <v>1480.7945163700015</v>
      </c>
      <c r="U47" s="472">
        <f t="shared" si="3"/>
        <v>99.999999999999986</v>
      </c>
    </row>
    <row r="48" spans="1:51" ht="14.5" customHeight="1" x14ac:dyDescent="0.25">
      <c r="A48" s="32"/>
      <c r="B48" s="32"/>
      <c r="C48" s="32"/>
      <c r="D48" s="32"/>
      <c r="E48" s="32"/>
      <c r="F48" s="171"/>
    </row>
    <row r="49" spans="1:21" ht="14.5" customHeight="1" x14ac:dyDescent="0.25">
      <c r="A49" s="32"/>
      <c r="B49" s="32"/>
      <c r="C49" s="32"/>
      <c r="D49" s="32"/>
      <c r="E49" s="32"/>
      <c r="F49" s="171"/>
    </row>
    <row r="50" spans="1:21" ht="14.5" customHeight="1" x14ac:dyDescent="0.25">
      <c r="A50" s="32"/>
      <c r="B50" s="32"/>
      <c r="C50" s="32"/>
      <c r="D50" s="32"/>
      <c r="E50" s="32"/>
      <c r="F50" s="171"/>
      <c r="G50" s="18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8"/>
    </row>
    <row r="51" spans="1:21" ht="14.5" customHeight="1" x14ac:dyDescent="0.25">
      <c r="A51" s="32"/>
      <c r="B51" s="32"/>
      <c r="C51" s="32"/>
      <c r="D51" s="32"/>
      <c r="E51" s="32"/>
      <c r="F51" s="171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 ht="14.5" customHeight="1" x14ac:dyDescent="0.25">
      <c r="A52" s="32"/>
      <c r="B52" s="32"/>
      <c r="C52" s="32"/>
      <c r="D52" s="32"/>
      <c r="E52" s="32"/>
      <c r="F52" s="171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1" ht="14.5" customHeight="1" x14ac:dyDescent="0.25">
      <c r="F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5" customHeight="1" x14ac:dyDescent="0.25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5" customHeight="1" x14ac:dyDescent="0.25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5" customHeight="1" x14ac:dyDescent="0.25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5" customHeight="1" x14ac:dyDescent="0.25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5" customHeight="1" x14ac:dyDescent="0.25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5" customHeight="1" x14ac:dyDescent="0.25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5" customHeight="1" x14ac:dyDescent="0.25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5" customHeight="1" x14ac:dyDescent="0.25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5" customHeight="1" x14ac:dyDescent="0.25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5" customHeight="1" x14ac:dyDescent="0.25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5" customHeight="1" x14ac:dyDescent="0.25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5" customHeight="1" x14ac:dyDescent="0.25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5" customHeight="1" x14ac:dyDescent="0.25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5" customHeight="1" x14ac:dyDescent="0.25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5" customHeight="1" x14ac:dyDescent="0.25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5" customHeight="1" x14ac:dyDescent="0.25">
      <c r="F69" s="18"/>
    </row>
    <row r="70" spans="6:23" ht="14.5" customHeight="1" x14ac:dyDescent="0.25">
      <c r="F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45"/>
      <c r="V70" s="45"/>
      <c r="W70" s="45"/>
    </row>
    <row r="71" spans="6:23" ht="14.5" customHeight="1" x14ac:dyDescent="0.25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5"/>
      <c r="V71" s="45"/>
      <c r="W71" s="45"/>
    </row>
    <row r="72" spans="6:23" ht="14.5" customHeight="1" x14ac:dyDescent="0.25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5"/>
      <c r="V72" s="45"/>
      <c r="W72" s="45"/>
    </row>
    <row r="73" spans="6:23" ht="14.5" customHeight="1" x14ac:dyDescent="0.25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5"/>
      <c r="V73" s="45"/>
      <c r="W73" s="45"/>
    </row>
    <row r="74" spans="6:23" ht="14.5" customHeight="1" x14ac:dyDescent="0.25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5"/>
      <c r="V74" s="45"/>
      <c r="W74" s="45"/>
    </row>
    <row r="75" spans="6:23" ht="14.5" customHeight="1" x14ac:dyDescent="0.25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5"/>
      <c r="V75" s="45"/>
      <c r="W75" s="45"/>
    </row>
    <row r="76" spans="6:23" ht="14.5" customHeight="1" x14ac:dyDescent="0.25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5"/>
      <c r="V76" s="45"/>
      <c r="W76" s="45"/>
    </row>
    <row r="77" spans="6:23" ht="14.5" customHeight="1" x14ac:dyDescent="0.25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5"/>
      <c r="V77" s="45"/>
      <c r="W77" s="45"/>
    </row>
    <row r="78" spans="6:23" ht="14.5" customHeight="1" x14ac:dyDescent="0.25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5"/>
      <c r="V78" s="45"/>
      <c r="W78" s="45"/>
    </row>
    <row r="79" spans="6:23" ht="14.5" customHeight="1" x14ac:dyDescent="0.25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5"/>
      <c r="V79" s="45"/>
      <c r="W79" s="45"/>
    </row>
    <row r="80" spans="6:23" ht="14.5" customHeight="1" x14ac:dyDescent="0.25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5"/>
      <c r="V80" s="45"/>
      <c r="W80" s="45"/>
    </row>
    <row r="81" spans="6:23" ht="14.5" customHeight="1" x14ac:dyDescent="0.25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5"/>
      <c r="V81" s="45"/>
      <c r="W81" s="45"/>
    </row>
    <row r="82" spans="6:23" ht="14.5" customHeight="1" x14ac:dyDescent="0.25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5"/>
      <c r="V82" s="45"/>
      <c r="W82" s="45"/>
    </row>
    <row r="83" spans="6:23" ht="14.5" customHeight="1" x14ac:dyDescent="0.25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5"/>
      <c r="V83" s="45"/>
      <c r="W83" s="45"/>
    </row>
    <row r="84" spans="6:23" ht="14.5" customHeight="1" x14ac:dyDescent="0.25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5"/>
      <c r="V84" s="45"/>
      <c r="W84" s="45"/>
    </row>
    <row r="85" spans="6:23" ht="14.5" customHeight="1" x14ac:dyDescent="0.25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5"/>
      <c r="V85" s="45"/>
      <c r="W85" s="45"/>
    </row>
    <row r="86" spans="6:23" ht="14.5" customHeight="1" x14ac:dyDescent="0.25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5"/>
      <c r="V86" s="45"/>
      <c r="W86" s="45"/>
    </row>
    <row r="87" spans="6:23" ht="14.5" customHeight="1" x14ac:dyDescent="0.25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5"/>
      <c r="V87" s="45"/>
      <c r="W87" s="45"/>
    </row>
    <row r="88" spans="6:23" ht="14.5" customHeight="1" x14ac:dyDescent="0.25">
      <c r="F88" s="18"/>
    </row>
    <row r="89" spans="6:23" ht="14.5" customHeight="1" x14ac:dyDescent="0.25">
      <c r="F89" s="18"/>
    </row>
    <row r="90" spans="6:23" ht="14.5" customHeight="1" x14ac:dyDescent="0.25">
      <c r="F90" s="18"/>
    </row>
    <row r="91" spans="6:23" ht="14.5" customHeight="1" x14ac:dyDescent="0.25">
      <c r="F91" s="18"/>
    </row>
    <row r="92" spans="6:23" ht="14.5" customHeight="1" x14ac:dyDescent="0.25">
      <c r="F92" s="18"/>
    </row>
    <row r="93" spans="6:23" ht="14.5" customHeight="1" x14ac:dyDescent="0.25">
      <c r="F93" s="18"/>
    </row>
    <row r="94" spans="6:23" ht="14.5" customHeight="1" x14ac:dyDescent="0.25">
      <c r="F94" s="18"/>
    </row>
    <row r="95" spans="6:23" ht="14.5" customHeight="1" x14ac:dyDescent="0.25">
      <c r="F95" s="18"/>
    </row>
    <row r="96" spans="6:23" ht="14.5" customHeight="1" x14ac:dyDescent="0.25">
      <c r="F96" s="18"/>
    </row>
    <row r="97" spans="6:6" ht="14.5" customHeight="1" x14ac:dyDescent="0.25">
      <c r="F97" s="18"/>
    </row>
    <row r="98" spans="6:6" ht="14.5" customHeight="1" x14ac:dyDescent="0.25">
      <c r="F98" s="18"/>
    </row>
    <row r="99" spans="6:6" ht="14.5" customHeight="1" x14ac:dyDescent="0.25">
      <c r="F99" s="18"/>
    </row>
    <row r="100" spans="6:6" ht="14.5" customHeight="1" x14ac:dyDescent="0.25">
      <c r="F100" s="18"/>
    </row>
    <row r="101" spans="6:6" ht="14.5" customHeight="1" x14ac:dyDescent="0.25">
      <c r="F101" s="18"/>
    </row>
    <row r="102" spans="6:6" ht="14.5" customHeight="1" x14ac:dyDescent="0.25">
      <c r="F102" s="18"/>
    </row>
    <row r="103" spans="6:6" ht="14.5" customHeight="1" x14ac:dyDescent="0.25">
      <c r="F103" s="18"/>
    </row>
    <row r="104" spans="6:6" ht="14.5" customHeight="1" x14ac:dyDescent="0.25">
      <c r="F104" s="18"/>
    </row>
    <row r="105" spans="6:6" ht="14.5" customHeight="1" x14ac:dyDescent="0.25">
      <c r="F105" s="18"/>
    </row>
    <row r="106" spans="6:6" ht="14.5" customHeight="1" x14ac:dyDescent="0.25">
      <c r="F106" s="18"/>
    </row>
    <row r="107" spans="6:6" ht="14.5" customHeight="1" x14ac:dyDescent="0.25">
      <c r="F107" s="18"/>
    </row>
    <row r="108" spans="6:6" ht="14.5" customHeight="1" x14ac:dyDescent="0.25">
      <c r="F108" s="18"/>
    </row>
    <row r="109" spans="6:6" ht="14.5" customHeight="1" x14ac:dyDescent="0.25">
      <c r="F109" s="18"/>
    </row>
    <row r="110" spans="6:6" ht="14.5" customHeight="1" x14ac:dyDescent="0.25">
      <c r="F110" s="18"/>
    </row>
    <row r="111" spans="6:6" ht="14.5" customHeight="1" x14ac:dyDescent="0.25">
      <c r="F111" s="18"/>
    </row>
    <row r="112" spans="6:6" ht="14.5" customHeight="1" x14ac:dyDescent="0.25">
      <c r="F112" s="18"/>
    </row>
    <row r="113" spans="6:6" ht="14.5" customHeight="1" x14ac:dyDescent="0.25">
      <c r="F113" s="18"/>
    </row>
    <row r="114" spans="6:6" ht="14.5" customHeight="1" x14ac:dyDescent="0.25">
      <c r="F114" s="18"/>
    </row>
    <row r="115" spans="6:6" ht="14.5" customHeight="1" x14ac:dyDescent="0.25">
      <c r="F115" s="18"/>
    </row>
    <row r="116" spans="6:6" ht="14.5" customHeight="1" x14ac:dyDescent="0.25">
      <c r="F116" s="18"/>
    </row>
    <row r="117" spans="6:6" ht="14.5" customHeight="1" x14ac:dyDescent="0.25">
      <c r="F117" s="18"/>
    </row>
    <row r="118" spans="6:6" ht="14.5" customHeight="1" x14ac:dyDescent="0.25">
      <c r="F118" s="18"/>
    </row>
    <row r="119" spans="6:6" ht="14.5" customHeight="1" x14ac:dyDescent="0.25">
      <c r="F119" s="18"/>
    </row>
    <row r="120" spans="6:6" ht="14.5" customHeight="1" x14ac:dyDescent="0.25">
      <c r="F120" s="18"/>
    </row>
    <row r="121" spans="6:6" ht="14.5" customHeight="1" x14ac:dyDescent="0.25">
      <c r="F121" s="18"/>
    </row>
    <row r="122" spans="6:6" ht="14.5" customHeight="1" x14ac:dyDescent="0.25">
      <c r="F122" s="18"/>
    </row>
    <row r="123" spans="6:6" ht="14.5" customHeight="1" x14ac:dyDescent="0.25">
      <c r="F123" s="18"/>
    </row>
    <row r="124" spans="6:6" ht="14.5" customHeight="1" x14ac:dyDescent="0.25">
      <c r="F124" s="18"/>
    </row>
    <row r="125" spans="6:6" ht="14.5" customHeight="1" x14ac:dyDescent="0.25">
      <c r="F125" s="18"/>
    </row>
    <row r="126" spans="6:6" ht="14.5" customHeight="1" x14ac:dyDescent="0.25">
      <c r="F126" s="18"/>
    </row>
    <row r="127" spans="6:6" ht="14.5" customHeight="1" x14ac:dyDescent="0.25">
      <c r="F127" s="18"/>
    </row>
    <row r="128" spans="6:6" ht="14.5" customHeight="1" x14ac:dyDescent="0.25">
      <c r="F128" s="18"/>
    </row>
    <row r="129" spans="6:6" ht="14.5" customHeight="1" x14ac:dyDescent="0.25">
      <c r="F129" s="18"/>
    </row>
    <row r="130" spans="6:6" ht="14.5" customHeight="1" x14ac:dyDescent="0.25">
      <c r="F130" s="18"/>
    </row>
    <row r="131" spans="6:6" ht="14.5" customHeight="1" x14ac:dyDescent="0.25">
      <c r="F131" s="18"/>
    </row>
    <row r="132" spans="6:6" ht="14.5" customHeight="1" x14ac:dyDescent="0.25">
      <c r="F132" s="18"/>
    </row>
    <row r="133" spans="6:6" ht="14.5" customHeight="1" x14ac:dyDescent="0.25">
      <c r="F133" s="18"/>
    </row>
    <row r="134" spans="6:6" ht="14.5" customHeight="1" x14ac:dyDescent="0.25">
      <c r="F134" s="18"/>
    </row>
    <row r="135" spans="6:6" ht="14.5" customHeight="1" x14ac:dyDescent="0.25">
      <c r="F135" s="18"/>
    </row>
    <row r="136" spans="6:6" ht="14.5" customHeight="1" x14ac:dyDescent="0.25">
      <c r="F136" s="18"/>
    </row>
    <row r="137" spans="6:6" ht="14.5" customHeight="1" x14ac:dyDescent="0.25">
      <c r="F137" s="18"/>
    </row>
    <row r="138" spans="6:6" ht="14.5" customHeight="1" x14ac:dyDescent="0.25">
      <c r="F138" s="18"/>
    </row>
    <row r="139" spans="6:6" ht="14.5" customHeight="1" x14ac:dyDescent="0.25">
      <c r="F139" s="18"/>
    </row>
    <row r="140" spans="6:6" ht="14.5" customHeight="1" x14ac:dyDescent="0.25">
      <c r="F140" s="18"/>
    </row>
    <row r="141" spans="6:6" ht="14.5" customHeight="1" x14ac:dyDescent="0.25">
      <c r="F141" s="18"/>
    </row>
    <row r="142" spans="6:6" ht="14.5" customHeight="1" x14ac:dyDescent="0.25">
      <c r="F142" s="18"/>
    </row>
    <row r="143" spans="6:6" ht="14.5" customHeight="1" x14ac:dyDescent="0.25">
      <c r="F143" s="18"/>
    </row>
    <row r="144" spans="6:6" ht="14.5" customHeight="1" x14ac:dyDescent="0.25">
      <c r="F144" s="18"/>
    </row>
    <row r="145" spans="6:6" ht="14.5" customHeight="1" x14ac:dyDescent="0.25">
      <c r="F145" s="18"/>
    </row>
    <row r="146" spans="6:6" ht="14.5" customHeight="1" x14ac:dyDescent="0.25">
      <c r="F146" s="18"/>
    </row>
    <row r="147" spans="6:6" ht="14.5" customHeight="1" x14ac:dyDescent="0.25">
      <c r="F147" s="18"/>
    </row>
    <row r="148" spans="6:6" ht="14.5" customHeight="1" x14ac:dyDescent="0.25">
      <c r="F148" s="18"/>
    </row>
    <row r="149" spans="6:6" ht="14.5" customHeight="1" x14ac:dyDescent="0.25">
      <c r="F149" s="18"/>
    </row>
    <row r="150" spans="6:6" ht="14.5" customHeight="1" x14ac:dyDescent="0.25">
      <c r="F150" s="18"/>
    </row>
    <row r="151" spans="6:6" ht="14.5" customHeight="1" x14ac:dyDescent="0.25">
      <c r="F151" s="18"/>
    </row>
    <row r="152" spans="6:6" ht="14.5" customHeight="1" x14ac:dyDescent="0.25">
      <c r="F152" s="18"/>
    </row>
    <row r="153" spans="6:6" ht="14.5" customHeight="1" x14ac:dyDescent="0.25">
      <c r="F153" s="18"/>
    </row>
    <row r="154" spans="6:6" ht="14.5" customHeight="1" x14ac:dyDescent="0.25">
      <c r="F154" s="18"/>
    </row>
    <row r="155" spans="6:6" ht="14.5" customHeight="1" x14ac:dyDescent="0.25">
      <c r="F155" s="18"/>
    </row>
    <row r="156" spans="6:6" ht="14.5" customHeight="1" x14ac:dyDescent="0.25">
      <c r="F156" s="18"/>
    </row>
    <row r="157" spans="6:6" ht="14.5" customHeight="1" x14ac:dyDescent="0.25">
      <c r="F157" s="18"/>
    </row>
    <row r="158" spans="6:6" ht="14.5" customHeight="1" x14ac:dyDescent="0.25">
      <c r="F158" s="18"/>
    </row>
    <row r="159" spans="6:6" ht="14.5" customHeight="1" x14ac:dyDescent="0.25">
      <c r="F159" s="18"/>
    </row>
    <row r="160" spans="6:6" ht="14.5" customHeight="1" x14ac:dyDescent="0.25">
      <c r="F160" s="18"/>
    </row>
    <row r="161" spans="6:6" ht="14.5" customHeight="1" x14ac:dyDescent="0.25">
      <c r="F161" s="18"/>
    </row>
    <row r="162" spans="6:6" ht="14.5" customHeight="1" x14ac:dyDescent="0.25">
      <c r="F162" s="18"/>
    </row>
    <row r="163" spans="6:6" ht="14.5" customHeight="1" x14ac:dyDescent="0.25">
      <c r="F163" s="18"/>
    </row>
    <row r="164" spans="6:6" ht="14.5" customHeight="1" x14ac:dyDescent="0.25">
      <c r="F164" s="18"/>
    </row>
    <row r="165" spans="6:6" ht="14.5" customHeight="1" x14ac:dyDescent="0.25">
      <c r="F165" s="18"/>
    </row>
    <row r="166" spans="6:6" ht="14.5" customHeight="1" x14ac:dyDescent="0.25">
      <c r="F166" s="18"/>
    </row>
    <row r="167" spans="6:6" ht="14.5" customHeight="1" x14ac:dyDescent="0.25">
      <c r="F167" s="18"/>
    </row>
    <row r="168" spans="6:6" ht="14.5" customHeight="1" x14ac:dyDescent="0.25">
      <c r="F168" s="18"/>
    </row>
    <row r="169" spans="6:6" ht="14.5" customHeight="1" x14ac:dyDescent="0.25">
      <c r="F169" s="18"/>
    </row>
    <row r="170" spans="6:6" ht="14.5" customHeight="1" x14ac:dyDescent="0.25">
      <c r="F170" s="18"/>
    </row>
    <row r="171" spans="6:6" ht="14.5" customHeight="1" x14ac:dyDescent="0.25">
      <c r="F171" s="18"/>
    </row>
    <row r="172" spans="6:6" ht="14.5" customHeight="1" x14ac:dyDescent="0.25">
      <c r="F172" s="18"/>
    </row>
    <row r="173" spans="6:6" ht="14.5" customHeight="1" x14ac:dyDescent="0.25">
      <c r="F173" s="18"/>
    </row>
    <row r="174" spans="6:6" ht="14.5" customHeight="1" x14ac:dyDescent="0.25">
      <c r="F174" s="18"/>
    </row>
    <row r="175" spans="6:6" ht="14.5" customHeight="1" x14ac:dyDescent="0.25">
      <c r="F175" s="18"/>
    </row>
    <row r="176" spans="6:6" ht="14.5" customHeight="1" x14ac:dyDescent="0.25">
      <c r="F176" s="18"/>
    </row>
    <row r="177" spans="6:6" ht="14.5" customHeight="1" x14ac:dyDescent="0.25">
      <c r="F177" s="18"/>
    </row>
    <row r="178" spans="6:6" ht="14.5" customHeight="1" x14ac:dyDescent="0.25">
      <c r="F178" s="18"/>
    </row>
    <row r="179" spans="6:6" ht="14.5" customHeight="1" x14ac:dyDescent="0.25">
      <c r="F179" s="18"/>
    </row>
    <row r="180" spans="6:6" ht="14.5" customHeight="1" x14ac:dyDescent="0.25">
      <c r="F180" s="18"/>
    </row>
    <row r="181" spans="6:6" ht="14.5" customHeight="1" x14ac:dyDescent="0.25">
      <c r="F181" s="18"/>
    </row>
    <row r="182" spans="6:6" ht="14.5" customHeight="1" x14ac:dyDescent="0.25">
      <c r="F182" s="18"/>
    </row>
    <row r="183" spans="6:6" ht="14.5" customHeight="1" x14ac:dyDescent="0.25">
      <c r="F183" s="18"/>
    </row>
    <row r="184" spans="6:6" ht="14.5" customHeight="1" x14ac:dyDescent="0.25">
      <c r="F184" s="18"/>
    </row>
    <row r="185" spans="6:6" ht="14.5" customHeight="1" x14ac:dyDescent="0.25">
      <c r="F185" s="18"/>
    </row>
    <row r="186" spans="6:6" ht="14.5" customHeight="1" x14ac:dyDescent="0.25">
      <c r="F186" s="18"/>
    </row>
    <row r="187" spans="6:6" ht="14.5" customHeight="1" x14ac:dyDescent="0.25">
      <c r="F187" s="18"/>
    </row>
    <row r="188" spans="6:6" ht="14.5" customHeight="1" x14ac:dyDescent="0.25">
      <c r="F188" s="18"/>
    </row>
    <row r="189" spans="6:6" ht="14.5" customHeight="1" x14ac:dyDescent="0.25">
      <c r="F189" s="18"/>
    </row>
    <row r="190" spans="6:6" ht="14.5" customHeight="1" x14ac:dyDescent="0.25">
      <c r="F190" s="18"/>
    </row>
    <row r="191" spans="6:6" ht="14.5" customHeight="1" x14ac:dyDescent="0.25">
      <c r="F191" s="18"/>
    </row>
    <row r="192" spans="6:6" ht="14.5" customHeight="1" x14ac:dyDescent="0.25">
      <c r="F192" s="18"/>
    </row>
    <row r="193" spans="6:6" ht="14.5" customHeight="1" x14ac:dyDescent="0.25">
      <c r="F193" s="18"/>
    </row>
    <row r="194" spans="6:6" ht="14.5" customHeight="1" x14ac:dyDescent="0.25">
      <c r="F194" s="18"/>
    </row>
    <row r="195" spans="6:6" ht="14.5" customHeight="1" x14ac:dyDescent="0.25">
      <c r="F195" s="18"/>
    </row>
    <row r="196" spans="6:6" ht="14.5" customHeight="1" x14ac:dyDescent="0.25">
      <c r="F196" s="18"/>
    </row>
    <row r="197" spans="6:6" ht="14.5" customHeight="1" x14ac:dyDescent="0.25">
      <c r="F197" s="18"/>
    </row>
    <row r="198" spans="6:6" ht="14.5" customHeight="1" x14ac:dyDescent="0.25">
      <c r="F198" s="18"/>
    </row>
    <row r="199" spans="6:6" ht="14.5" customHeight="1" x14ac:dyDescent="0.25">
      <c r="F199" s="18"/>
    </row>
    <row r="200" spans="6:6" ht="14.5" customHeight="1" x14ac:dyDescent="0.25">
      <c r="F200" s="18"/>
    </row>
    <row r="201" spans="6:6" ht="14.5" customHeight="1" x14ac:dyDescent="0.25">
      <c r="F201" s="18"/>
    </row>
    <row r="202" spans="6:6" ht="14.5" customHeight="1" x14ac:dyDescent="0.25">
      <c r="F202" s="18"/>
    </row>
    <row r="203" spans="6:6" ht="14.5" customHeight="1" x14ac:dyDescent="0.25">
      <c r="F203" s="18"/>
    </row>
    <row r="204" spans="6:6" ht="14.5" customHeight="1" x14ac:dyDescent="0.25">
      <c r="F204" s="18"/>
    </row>
    <row r="205" spans="6:6" ht="14.5" customHeight="1" x14ac:dyDescent="0.25">
      <c r="F205" s="18"/>
    </row>
    <row r="206" spans="6:6" ht="14.5" customHeight="1" x14ac:dyDescent="0.25">
      <c r="F206" s="18"/>
    </row>
    <row r="207" spans="6:6" ht="14.5" customHeight="1" x14ac:dyDescent="0.25">
      <c r="F207" s="18"/>
    </row>
    <row r="208" spans="6:6" ht="14.5" customHeight="1" x14ac:dyDescent="0.25">
      <c r="F208" s="18"/>
    </row>
    <row r="209" spans="6:6" ht="14.5" customHeight="1" x14ac:dyDescent="0.25">
      <c r="F209" s="18"/>
    </row>
    <row r="210" spans="6:6" ht="14.5" customHeight="1" x14ac:dyDescent="0.25">
      <c r="F210" s="18"/>
    </row>
    <row r="211" spans="6:6" ht="14.5" customHeight="1" x14ac:dyDescent="0.25">
      <c r="F211" s="18"/>
    </row>
    <row r="212" spans="6:6" ht="14.5" customHeight="1" x14ac:dyDescent="0.25">
      <c r="F212" s="18"/>
    </row>
    <row r="213" spans="6:6" ht="14.5" customHeight="1" x14ac:dyDescent="0.25">
      <c r="F213" s="18"/>
    </row>
    <row r="214" spans="6:6" ht="14.5" customHeight="1" x14ac:dyDescent="0.25">
      <c r="F214" s="18"/>
    </row>
    <row r="215" spans="6:6" ht="14.5" customHeight="1" x14ac:dyDescent="0.25">
      <c r="F215" s="18"/>
    </row>
    <row r="216" spans="6:6" ht="14.5" customHeight="1" x14ac:dyDescent="0.25">
      <c r="F216" s="18"/>
    </row>
    <row r="217" spans="6:6" ht="14.5" customHeight="1" x14ac:dyDescent="0.25">
      <c r="F217" s="18"/>
    </row>
    <row r="218" spans="6:6" ht="14.5" customHeight="1" x14ac:dyDescent="0.25">
      <c r="F218" s="18"/>
    </row>
    <row r="219" spans="6:6" ht="14.5" customHeight="1" x14ac:dyDescent="0.25">
      <c r="F219" s="18"/>
    </row>
    <row r="220" spans="6:6" ht="14.5" customHeight="1" x14ac:dyDescent="0.25">
      <c r="F220" s="18"/>
    </row>
    <row r="221" spans="6:6" ht="14.5" customHeight="1" x14ac:dyDescent="0.25">
      <c r="F221" s="18"/>
    </row>
    <row r="222" spans="6:6" ht="14.5" customHeight="1" x14ac:dyDescent="0.25">
      <c r="F222" s="18"/>
    </row>
    <row r="223" spans="6:6" ht="14.5" customHeight="1" x14ac:dyDescent="0.25">
      <c r="F223" s="18"/>
    </row>
    <row r="224" spans="6:6" ht="14.5" customHeight="1" x14ac:dyDescent="0.25">
      <c r="F224" s="18"/>
    </row>
    <row r="225" spans="6:6" ht="14.5" customHeight="1" x14ac:dyDescent="0.25">
      <c r="F225" s="18"/>
    </row>
    <row r="226" spans="6:6" ht="14.5" customHeight="1" x14ac:dyDescent="0.25">
      <c r="F226" s="18"/>
    </row>
    <row r="227" spans="6:6" ht="14.5" customHeight="1" x14ac:dyDescent="0.25">
      <c r="F227" s="18"/>
    </row>
    <row r="228" spans="6:6" ht="14.5" customHeight="1" x14ac:dyDescent="0.25">
      <c r="F228" s="18"/>
    </row>
    <row r="229" spans="6:6" ht="14.5" customHeight="1" x14ac:dyDescent="0.25">
      <c r="F229" s="18"/>
    </row>
    <row r="230" spans="6:6" ht="14.5" customHeight="1" x14ac:dyDescent="0.25">
      <c r="F230" s="18"/>
    </row>
    <row r="231" spans="6:6" ht="14.5" customHeight="1" x14ac:dyDescent="0.25">
      <c r="F231" s="18"/>
    </row>
    <row r="232" spans="6:6" ht="14.5" customHeight="1" x14ac:dyDescent="0.25">
      <c r="F232" s="18"/>
    </row>
    <row r="233" spans="6:6" ht="14.5" customHeight="1" x14ac:dyDescent="0.25">
      <c r="F233" s="18"/>
    </row>
    <row r="234" spans="6:6" ht="14.5" customHeight="1" x14ac:dyDescent="0.25">
      <c r="F234" s="18"/>
    </row>
    <row r="235" spans="6:6" ht="14.5" customHeight="1" x14ac:dyDescent="0.25">
      <c r="F235" s="18"/>
    </row>
    <row r="236" spans="6:6" ht="14.5" customHeight="1" x14ac:dyDescent="0.25">
      <c r="F236" s="18"/>
    </row>
    <row r="237" spans="6:6" ht="14.5" customHeight="1" x14ac:dyDescent="0.25">
      <c r="F237" s="18"/>
    </row>
    <row r="238" spans="6:6" ht="14.5" customHeight="1" x14ac:dyDescent="0.25">
      <c r="F238" s="18"/>
    </row>
    <row r="239" spans="6:6" ht="14.5" customHeight="1" x14ac:dyDescent="0.25">
      <c r="F239" s="18"/>
    </row>
    <row r="240" spans="6:6" ht="14.5" customHeight="1" x14ac:dyDescent="0.25">
      <c r="F240" s="18"/>
    </row>
    <row r="241" spans="6:6" ht="14.5" customHeight="1" x14ac:dyDescent="0.25">
      <c r="F241" s="18"/>
    </row>
    <row r="242" spans="6:6" ht="14.5" customHeight="1" x14ac:dyDescent="0.25">
      <c r="F242" s="18"/>
    </row>
    <row r="243" spans="6:6" ht="14.5" customHeight="1" x14ac:dyDescent="0.25">
      <c r="F243" s="18"/>
    </row>
    <row r="244" spans="6:6" ht="14.5" customHeight="1" x14ac:dyDescent="0.25">
      <c r="F244" s="18"/>
    </row>
    <row r="245" spans="6:6" ht="14.5" customHeight="1" x14ac:dyDescent="0.25">
      <c r="F245" s="18"/>
    </row>
    <row r="246" spans="6:6" ht="14.5" customHeight="1" x14ac:dyDescent="0.25">
      <c r="F246" s="18"/>
    </row>
    <row r="247" spans="6:6" ht="14.5" customHeight="1" x14ac:dyDescent="0.25">
      <c r="F247" s="18"/>
    </row>
    <row r="248" spans="6:6" ht="14.5" customHeight="1" x14ac:dyDescent="0.25">
      <c r="F248" s="18"/>
    </row>
    <row r="249" spans="6:6" ht="14.5" customHeight="1" x14ac:dyDescent="0.25">
      <c r="F249" s="18"/>
    </row>
    <row r="250" spans="6:6" ht="14.5" customHeight="1" x14ac:dyDescent="0.25">
      <c r="F250" s="18"/>
    </row>
    <row r="251" spans="6:6" ht="14.5" customHeight="1" x14ac:dyDescent="0.25">
      <c r="F251" s="18"/>
    </row>
    <row r="252" spans="6:6" ht="14.5" customHeight="1" x14ac:dyDescent="0.25">
      <c r="F252" s="18"/>
    </row>
    <row r="253" spans="6:6" ht="14.5" customHeight="1" x14ac:dyDescent="0.25">
      <c r="F253" s="18"/>
    </row>
    <row r="254" spans="6:6" ht="14.5" customHeight="1" x14ac:dyDescent="0.25">
      <c r="F254" s="18"/>
    </row>
    <row r="255" spans="6:6" ht="14.5" customHeight="1" x14ac:dyDescent="0.25">
      <c r="F255" s="18"/>
    </row>
    <row r="256" spans="6:6" ht="14.5" customHeight="1" x14ac:dyDescent="0.25">
      <c r="F256" s="18"/>
    </row>
    <row r="257" spans="6:6" ht="14.5" customHeight="1" x14ac:dyDescent="0.25">
      <c r="F257" s="18"/>
    </row>
    <row r="258" spans="6:6" ht="14.5" customHeight="1" x14ac:dyDescent="0.25">
      <c r="F258" s="18"/>
    </row>
    <row r="259" spans="6:6" ht="14.5" customHeight="1" x14ac:dyDescent="0.25">
      <c r="F259" s="18"/>
    </row>
    <row r="260" spans="6:6" ht="14.5" customHeight="1" x14ac:dyDescent="0.25">
      <c r="F260" s="18"/>
    </row>
    <row r="261" spans="6:6" ht="14.5" customHeight="1" x14ac:dyDescent="0.25">
      <c r="F261" s="18"/>
    </row>
    <row r="262" spans="6:6" ht="14.5" customHeight="1" x14ac:dyDescent="0.25">
      <c r="F262" s="18"/>
    </row>
    <row r="263" spans="6:6" ht="14.5" customHeight="1" x14ac:dyDescent="0.25">
      <c r="F263" s="18"/>
    </row>
    <row r="264" spans="6:6" ht="14.5" customHeight="1" x14ac:dyDescent="0.25">
      <c r="F264" s="18"/>
    </row>
    <row r="265" spans="6:6" ht="14.5" customHeight="1" x14ac:dyDescent="0.25">
      <c r="F265" s="18"/>
    </row>
    <row r="266" spans="6:6" ht="14.5" customHeight="1" x14ac:dyDescent="0.25">
      <c r="F266" s="18"/>
    </row>
    <row r="267" spans="6:6" ht="14.5" customHeight="1" x14ac:dyDescent="0.25">
      <c r="F267" s="18"/>
    </row>
    <row r="268" spans="6:6" ht="14.5" customHeight="1" x14ac:dyDescent="0.25">
      <c r="F268" s="18"/>
    </row>
    <row r="269" spans="6:6" ht="14.5" customHeight="1" x14ac:dyDescent="0.25">
      <c r="F269" s="18"/>
    </row>
    <row r="270" spans="6:6" ht="14.5" customHeight="1" x14ac:dyDescent="0.25">
      <c r="F270" s="18"/>
    </row>
    <row r="271" spans="6:6" ht="14.5" customHeight="1" x14ac:dyDescent="0.25">
      <c r="F271" s="18"/>
    </row>
    <row r="272" spans="6:6" ht="14.5" customHeight="1" x14ac:dyDescent="0.25">
      <c r="F272" s="18"/>
    </row>
    <row r="273" spans="6:6" ht="14.5" customHeight="1" x14ac:dyDescent="0.25">
      <c r="F273" s="18"/>
    </row>
    <row r="274" spans="6:6" ht="14.5" customHeight="1" x14ac:dyDescent="0.25">
      <c r="F274" s="18"/>
    </row>
    <row r="275" spans="6:6" ht="14.5" customHeight="1" x14ac:dyDescent="0.25">
      <c r="F275" s="18"/>
    </row>
    <row r="276" spans="6:6" ht="14.5" customHeight="1" x14ac:dyDescent="0.25">
      <c r="F276" s="18"/>
    </row>
    <row r="277" spans="6:6" ht="14.5" customHeight="1" x14ac:dyDescent="0.25">
      <c r="F277" s="18"/>
    </row>
    <row r="278" spans="6:6" ht="14.5" customHeight="1" x14ac:dyDescent="0.25">
      <c r="F278" s="18"/>
    </row>
    <row r="279" spans="6:6" ht="14.5" customHeight="1" x14ac:dyDescent="0.25">
      <c r="F279" s="18"/>
    </row>
    <row r="280" spans="6:6" ht="14.5" customHeight="1" x14ac:dyDescent="0.25">
      <c r="F280" s="18"/>
    </row>
    <row r="281" spans="6:6" ht="14.5" customHeight="1" x14ac:dyDescent="0.25">
      <c r="F281" s="18"/>
    </row>
    <row r="282" spans="6:6" ht="14.5" customHeight="1" x14ac:dyDescent="0.25">
      <c r="F282" s="18"/>
    </row>
    <row r="283" spans="6:6" ht="14.5" customHeight="1" x14ac:dyDescent="0.25">
      <c r="F283" s="18"/>
    </row>
    <row r="284" spans="6:6" ht="14.5" customHeight="1" x14ac:dyDescent="0.25">
      <c r="F284" s="18"/>
    </row>
    <row r="285" spans="6:6" ht="14.5" customHeight="1" x14ac:dyDescent="0.25">
      <c r="F285" s="18"/>
    </row>
    <row r="286" spans="6:6" ht="14.5" customHeight="1" x14ac:dyDescent="0.25">
      <c r="F286" s="18"/>
    </row>
    <row r="287" spans="6:6" ht="14.5" customHeight="1" x14ac:dyDescent="0.25">
      <c r="F287" s="18"/>
    </row>
    <row r="288" spans="6:6" ht="14.5" customHeight="1" x14ac:dyDescent="0.25">
      <c r="F288" s="18"/>
    </row>
    <row r="289" spans="6:6" ht="14.5" customHeight="1" x14ac:dyDescent="0.25">
      <c r="F289" s="18"/>
    </row>
    <row r="290" spans="6:6" ht="14.5" customHeight="1" x14ac:dyDescent="0.25">
      <c r="F290" s="18"/>
    </row>
    <row r="291" spans="6:6" ht="14.5" customHeight="1" x14ac:dyDescent="0.25">
      <c r="F291" s="18"/>
    </row>
    <row r="292" spans="6:6" ht="14.5" customHeight="1" x14ac:dyDescent="0.25">
      <c r="F292" s="18"/>
    </row>
    <row r="293" spans="6:6" ht="14.5" customHeight="1" x14ac:dyDescent="0.25">
      <c r="F293" s="18"/>
    </row>
    <row r="294" spans="6:6" ht="14.5" customHeight="1" x14ac:dyDescent="0.25">
      <c r="F294" s="18"/>
    </row>
    <row r="295" spans="6:6" ht="14.5" customHeight="1" x14ac:dyDescent="0.25">
      <c r="F295" s="18"/>
    </row>
    <row r="296" spans="6:6" ht="14.5" customHeight="1" x14ac:dyDescent="0.25">
      <c r="F296" s="18"/>
    </row>
    <row r="297" spans="6:6" ht="14.5" customHeight="1" x14ac:dyDescent="0.25">
      <c r="F297" s="18"/>
    </row>
    <row r="298" spans="6:6" ht="14.5" customHeight="1" x14ac:dyDescent="0.25">
      <c r="F298" s="18"/>
    </row>
    <row r="299" spans="6:6" ht="14.5" customHeight="1" x14ac:dyDescent="0.25">
      <c r="F299" s="18"/>
    </row>
    <row r="300" spans="6:6" ht="14.5" customHeight="1" x14ac:dyDescent="0.25">
      <c r="F300" s="18"/>
    </row>
    <row r="301" spans="6:6" ht="14.5" customHeight="1" x14ac:dyDescent="0.25">
      <c r="F301" s="18"/>
    </row>
    <row r="302" spans="6:6" ht="14.5" customHeight="1" x14ac:dyDescent="0.25">
      <c r="F302" s="18"/>
    </row>
    <row r="303" spans="6:6" ht="14.5" customHeight="1" x14ac:dyDescent="0.25">
      <c r="F303" s="18"/>
    </row>
    <row r="304" spans="6:6" ht="14.5" customHeight="1" x14ac:dyDescent="0.25">
      <c r="F304" s="18"/>
    </row>
    <row r="305" spans="6:6" ht="14.5" customHeight="1" x14ac:dyDescent="0.25">
      <c r="F305" s="18"/>
    </row>
    <row r="306" spans="6:6" ht="14.5" customHeight="1" x14ac:dyDescent="0.25">
      <c r="F306" s="18"/>
    </row>
    <row r="307" spans="6:6" ht="14.5" customHeight="1" x14ac:dyDescent="0.25">
      <c r="F307" s="18"/>
    </row>
    <row r="308" spans="6:6" ht="14.5" customHeight="1" x14ac:dyDescent="0.25">
      <c r="F308" s="18"/>
    </row>
    <row r="309" spans="6:6" ht="14.5" customHeight="1" x14ac:dyDescent="0.25">
      <c r="F309" s="18"/>
    </row>
    <row r="310" spans="6:6" ht="14.5" customHeight="1" x14ac:dyDescent="0.25">
      <c r="F310" s="18"/>
    </row>
    <row r="311" spans="6:6" ht="14.5" customHeight="1" x14ac:dyDescent="0.25">
      <c r="F311" s="18"/>
    </row>
    <row r="312" spans="6:6" ht="14.5" customHeight="1" x14ac:dyDescent="0.25">
      <c r="F312" s="18"/>
    </row>
    <row r="313" spans="6:6" ht="14.5" customHeight="1" x14ac:dyDescent="0.25">
      <c r="F313" s="18"/>
    </row>
    <row r="314" spans="6:6" ht="14.5" customHeight="1" x14ac:dyDescent="0.25">
      <c r="F314" s="18"/>
    </row>
    <row r="315" spans="6:6" ht="14.5" customHeight="1" x14ac:dyDescent="0.25">
      <c r="F315" s="18"/>
    </row>
    <row r="316" spans="6:6" ht="14.5" customHeight="1" x14ac:dyDescent="0.25">
      <c r="F316" s="18"/>
    </row>
    <row r="317" spans="6:6" ht="14.5" customHeight="1" x14ac:dyDescent="0.25">
      <c r="F317" s="18"/>
    </row>
    <row r="318" spans="6:6" ht="14.5" customHeight="1" x14ac:dyDescent="0.25">
      <c r="F318" s="18"/>
    </row>
    <row r="319" spans="6:6" ht="14.5" customHeight="1" x14ac:dyDescent="0.25">
      <c r="F319" s="18"/>
    </row>
    <row r="320" spans="6:6" ht="14.5" customHeight="1" x14ac:dyDescent="0.25">
      <c r="F320" s="18"/>
    </row>
    <row r="321" spans="6:6" ht="14.5" customHeight="1" x14ac:dyDescent="0.25">
      <c r="F321" s="18"/>
    </row>
    <row r="322" spans="6:6" ht="14.5" customHeight="1" x14ac:dyDescent="0.25">
      <c r="F322" s="18"/>
    </row>
    <row r="323" spans="6:6" ht="14.5" customHeight="1" x14ac:dyDescent="0.25">
      <c r="F323" s="18"/>
    </row>
    <row r="324" spans="6:6" ht="14.5" customHeight="1" x14ac:dyDescent="0.25">
      <c r="F324" s="18"/>
    </row>
    <row r="325" spans="6:6" ht="14.5" customHeight="1" x14ac:dyDescent="0.25">
      <c r="F325" s="18"/>
    </row>
    <row r="326" spans="6:6" ht="14.5" customHeight="1" x14ac:dyDescent="0.25">
      <c r="F326" s="18"/>
    </row>
    <row r="327" spans="6:6" ht="14.5" customHeight="1" x14ac:dyDescent="0.25">
      <c r="F327" s="18"/>
    </row>
    <row r="328" spans="6:6" ht="14.5" customHeight="1" x14ac:dyDescent="0.25">
      <c r="F328" s="18"/>
    </row>
    <row r="329" spans="6:6" ht="14.5" customHeight="1" x14ac:dyDescent="0.25">
      <c r="F329" s="18"/>
    </row>
    <row r="330" spans="6:6" ht="14.5" customHeight="1" x14ac:dyDescent="0.25">
      <c r="F330" s="18"/>
    </row>
    <row r="331" spans="6:6" ht="14.5" customHeight="1" x14ac:dyDescent="0.25">
      <c r="F331" s="18"/>
    </row>
    <row r="332" spans="6:6" ht="14.5" customHeight="1" x14ac:dyDescent="0.25">
      <c r="F332" s="18"/>
    </row>
    <row r="333" spans="6:6" ht="14.5" customHeight="1" x14ac:dyDescent="0.25">
      <c r="F333" s="18"/>
    </row>
    <row r="334" spans="6:6" ht="14.5" customHeight="1" x14ac:dyDescent="0.25">
      <c r="F334" s="18"/>
    </row>
    <row r="335" spans="6:6" ht="14.5" customHeight="1" x14ac:dyDescent="0.25">
      <c r="F335" s="18"/>
    </row>
    <row r="336" spans="6:6" ht="14.5" customHeight="1" x14ac:dyDescent="0.25">
      <c r="F336" s="18"/>
    </row>
    <row r="337" spans="6:6" ht="14.5" customHeight="1" x14ac:dyDescent="0.25">
      <c r="F337" s="18"/>
    </row>
    <row r="338" spans="6:6" ht="14.5" customHeight="1" x14ac:dyDescent="0.25">
      <c r="F338" s="18"/>
    </row>
    <row r="339" spans="6:6" ht="14.5" customHeight="1" x14ac:dyDescent="0.25">
      <c r="F339" s="18"/>
    </row>
    <row r="340" spans="6:6" ht="14.5" customHeight="1" x14ac:dyDescent="0.25">
      <c r="F340" s="18"/>
    </row>
    <row r="341" spans="6:6" ht="14.5" customHeight="1" x14ac:dyDescent="0.25">
      <c r="F341" s="18"/>
    </row>
    <row r="342" spans="6:6" ht="14.5" customHeight="1" x14ac:dyDescent="0.25">
      <c r="F342" s="18"/>
    </row>
    <row r="343" spans="6:6" ht="14.5" customHeight="1" x14ac:dyDescent="0.25">
      <c r="F343" s="18"/>
    </row>
    <row r="344" spans="6:6" ht="14.5" customHeight="1" x14ac:dyDescent="0.25">
      <c r="F344" s="18"/>
    </row>
    <row r="345" spans="6:6" ht="14.5" customHeight="1" x14ac:dyDescent="0.25">
      <c r="F345" s="18"/>
    </row>
    <row r="346" spans="6:6" ht="14.5" customHeight="1" x14ac:dyDescent="0.25">
      <c r="F346" s="18"/>
    </row>
    <row r="347" spans="6:6" ht="14.5" customHeight="1" x14ac:dyDescent="0.25">
      <c r="F347" s="18"/>
    </row>
    <row r="348" spans="6:6" ht="14.5" customHeight="1" x14ac:dyDescent="0.25">
      <c r="F348" s="18"/>
    </row>
    <row r="349" spans="6:6" ht="14.5" customHeight="1" x14ac:dyDescent="0.25">
      <c r="F349" s="18"/>
    </row>
    <row r="350" spans="6:6" ht="14.5" customHeight="1" x14ac:dyDescent="0.25">
      <c r="F350" s="18"/>
    </row>
    <row r="351" spans="6:6" ht="14.5" customHeight="1" x14ac:dyDescent="0.25">
      <c r="F351" s="18"/>
    </row>
    <row r="352" spans="6:6" ht="14.5" customHeight="1" x14ac:dyDescent="0.25">
      <c r="F352" s="18"/>
    </row>
    <row r="353" spans="6:6" ht="14.5" customHeight="1" x14ac:dyDescent="0.25">
      <c r="F353" s="18"/>
    </row>
    <row r="354" spans="6:6" ht="14.5" customHeight="1" x14ac:dyDescent="0.25">
      <c r="F354" s="18"/>
    </row>
    <row r="355" spans="6:6" ht="14.5" customHeight="1" x14ac:dyDescent="0.25">
      <c r="F355" s="18"/>
    </row>
    <row r="356" spans="6:6" ht="14.5" customHeight="1" x14ac:dyDescent="0.25">
      <c r="F356" s="18"/>
    </row>
    <row r="357" spans="6:6" ht="14.5" customHeight="1" x14ac:dyDescent="0.25">
      <c r="F357" s="18"/>
    </row>
    <row r="358" spans="6:6" ht="14.5" customHeight="1" x14ac:dyDescent="0.25">
      <c r="F358" s="18"/>
    </row>
    <row r="359" spans="6:6" ht="14.5" customHeight="1" x14ac:dyDescent="0.25">
      <c r="F359" s="18"/>
    </row>
    <row r="360" spans="6:6" ht="14.5" customHeight="1" x14ac:dyDescent="0.25">
      <c r="F360" s="18"/>
    </row>
    <row r="361" spans="6:6" ht="14.5" customHeight="1" x14ac:dyDescent="0.25">
      <c r="F361" s="18"/>
    </row>
    <row r="362" spans="6:6" ht="14.5" customHeight="1" x14ac:dyDescent="0.25">
      <c r="F362" s="18"/>
    </row>
    <row r="363" spans="6:6" ht="14.5" customHeight="1" x14ac:dyDescent="0.25">
      <c r="F363" s="18"/>
    </row>
    <row r="364" spans="6:6" ht="14.5" customHeight="1" x14ac:dyDescent="0.25">
      <c r="F364" s="18"/>
    </row>
    <row r="365" spans="6:6" ht="14.5" customHeight="1" x14ac:dyDescent="0.25">
      <c r="F365" s="18"/>
    </row>
    <row r="366" spans="6:6" ht="14.5" customHeight="1" x14ac:dyDescent="0.25">
      <c r="F366" s="18"/>
    </row>
    <row r="367" spans="6:6" ht="14.5" customHeight="1" x14ac:dyDescent="0.25">
      <c r="F367" s="18"/>
    </row>
    <row r="368" spans="6:6" ht="14.5" customHeight="1" x14ac:dyDescent="0.25">
      <c r="F368" s="18"/>
    </row>
    <row r="369" spans="6:6" ht="14.5" customHeight="1" x14ac:dyDescent="0.25">
      <c r="F369" s="18"/>
    </row>
    <row r="370" spans="6:6" ht="14.5" customHeight="1" x14ac:dyDescent="0.25">
      <c r="F370" s="18"/>
    </row>
    <row r="371" spans="6:6" ht="14.5" customHeight="1" x14ac:dyDescent="0.25">
      <c r="F371" s="18"/>
    </row>
    <row r="372" spans="6:6" ht="14.5" customHeight="1" x14ac:dyDescent="0.25">
      <c r="F372" s="18"/>
    </row>
    <row r="373" spans="6:6" ht="14.5" customHeight="1" x14ac:dyDescent="0.25">
      <c r="F373" s="18"/>
    </row>
    <row r="374" spans="6:6" ht="14.5" customHeight="1" x14ac:dyDescent="0.25">
      <c r="F374" s="18"/>
    </row>
    <row r="375" spans="6:6" ht="14.5" customHeight="1" x14ac:dyDescent="0.25">
      <c r="F375" s="18"/>
    </row>
    <row r="376" spans="6:6" ht="14.5" customHeight="1" x14ac:dyDescent="0.25">
      <c r="F376" s="18"/>
    </row>
    <row r="377" spans="6:6" ht="14.5" customHeight="1" x14ac:dyDescent="0.25">
      <c r="F377" s="18"/>
    </row>
    <row r="378" spans="6:6" ht="14.5" customHeight="1" x14ac:dyDescent="0.25">
      <c r="F378" s="18"/>
    </row>
    <row r="379" spans="6:6" ht="14.5" customHeight="1" x14ac:dyDescent="0.25">
      <c r="F379" s="18"/>
    </row>
    <row r="380" spans="6:6" ht="14.5" customHeight="1" x14ac:dyDescent="0.25">
      <c r="F380" s="18"/>
    </row>
    <row r="381" spans="6:6" ht="14.5" customHeight="1" x14ac:dyDescent="0.25">
      <c r="F381" s="18"/>
    </row>
    <row r="382" spans="6:6" ht="14.5" customHeight="1" x14ac:dyDescent="0.25">
      <c r="F382" s="18"/>
    </row>
    <row r="383" spans="6:6" ht="14.5" customHeight="1" x14ac:dyDescent="0.25">
      <c r="F383" s="18"/>
    </row>
    <row r="384" spans="6:6" ht="14.5" customHeight="1" x14ac:dyDescent="0.25">
      <c r="F384" s="18"/>
    </row>
    <row r="385" spans="6:6" ht="14.5" customHeight="1" x14ac:dyDescent="0.25">
      <c r="F385" s="18"/>
    </row>
    <row r="386" spans="6:6" ht="14.5" customHeight="1" x14ac:dyDescent="0.25">
      <c r="F386" s="18"/>
    </row>
    <row r="387" spans="6:6" ht="14.5" customHeight="1" x14ac:dyDescent="0.25">
      <c r="F387" s="18"/>
    </row>
    <row r="388" spans="6:6" ht="14.5" customHeight="1" x14ac:dyDescent="0.25">
      <c r="F388" s="18"/>
    </row>
    <row r="389" spans="6:6" ht="14.5" customHeight="1" x14ac:dyDescent="0.25">
      <c r="F389" s="18"/>
    </row>
    <row r="390" spans="6:6" ht="14.5" customHeight="1" x14ac:dyDescent="0.25">
      <c r="F390" s="18"/>
    </row>
    <row r="391" spans="6:6" ht="14.5" customHeight="1" x14ac:dyDescent="0.25">
      <c r="F391" s="18"/>
    </row>
    <row r="392" spans="6:6" ht="14.5" customHeight="1" x14ac:dyDescent="0.25">
      <c r="F392" s="18"/>
    </row>
    <row r="393" spans="6:6" ht="14.5" customHeight="1" x14ac:dyDescent="0.25">
      <c r="F393" s="18"/>
    </row>
    <row r="394" spans="6:6" ht="14.5" customHeight="1" x14ac:dyDescent="0.25">
      <c r="F394" s="18"/>
    </row>
    <row r="395" spans="6:6" ht="14.5" customHeight="1" x14ac:dyDescent="0.25">
      <c r="F395" s="18"/>
    </row>
    <row r="396" spans="6:6" ht="14.5" customHeight="1" x14ac:dyDescent="0.25">
      <c r="F396" s="18"/>
    </row>
    <row r="397" spans="6:6" ht="14.5" customHeight="1" x14ac:dyDescent="0.25">
      <c r="F397" s="18"/>
    </row>
    <row r="398" spans="6:6" ht="14.5" customHeight="1" x14ac:dyDescent="0.25">
      <c r="F398" s="18"/>
    </row>
    <row r="399" spans="6:6" ht="14.5" customHeight="1" x14ac:dyDescent="0.25">
      <c r="F399" s="18"/>
    </row>
    <row r="400" spans="6:6" ht="14.5" customHeight="1" x14ac:dyDescent="0.25">
      <c r="F400" s="18"/>
    </row>
    <row r="401" spans="6:6" ht="14.5" customHeight="1" x14ac:dyDescent="0.25">
      <c r="F401" s="18"/>
    </row>
    <row r="402" spans="6:6" ht="14.5" customHeight="1" x14ac:dyDescent="0.25">
      <c r="F402" s="18"/>
    </row>
    <row r="403" spans="6:6" ht="14.5" customHeight="1" x14ac:dyDescent="0.25">
      <c r="F403" s="18"/>
    </row>
    <row r="404" spans="6:6" ht="14.5" customHeight="1" x14ac:dyDescent="0.25">
      <c r="F404" s="18"/>
    </row>
    <row r="405" spans="6:6" ht="14.5" customHeight="1" x14ac:dyDescent="0.25">
      <c r="F405" s="18"/>
    </row>
    <row r="406" spans="6:6" ht="14.5" customHeight="1" x14ac:dyDescent="0.25">
      <c r="F406" s="18"/>
    </row>
    <row r="407" spans="6:6" ht="14.5" customHeight="1" x14ac:dyDescent="0.25">
      <c r="F407" s="18"/>
    </row>
    <row r="408" spans="6:6" ht="14.5" customHeight="1" x14ac:dyDescent="0.25">
      <c r="F408" s="18"/>
    </row>
    <row r="409" spans="6:6" ht="14.5" customHeight="1" x14ac:dyDescent="0.25">
      <c r="F409" s="18"/>
    </row>
    <row r="410" spans="6:6" ht="14.5" customHeight="1" x14ac:dyDescent="0.25">
      <c r="F410" s="18"/>
    </row>
    <row r="411" spans="6:6" ht="14.5" customHeight="1" x14ac:dyDescent="0.25">
      <c r="F411" s="18"/>
    </row>
    <row r="412" spans="6:6" ht="14.5" customHeight="1" x14ac:dyDescent="0.25">
      <c r="F412" s="18"/>
    </row>
    <row r="413" spans="6:6" ht="14.5" customHeight="1" x14ac:dyDescent="0.25">
      <c r="F413" s="18"/>
    </row>
    <row r="414" spans="6:6" ht="14.5" customHeight="1" x14ac:dyDescent="0.25">
      <c r="F414" s="18"/>
    </row>
    <row r="415" spans="6:6" ht="14.5" customHeight="1" x14ac:dyDescent="0.25">
      <c r="F415" s="18"/>
    </row>
    <row r="416" spans="6:6" ht="14.5" customHeight="1" x14ac:dyDescent="0.25">
      <c r="F416" s="18"/>
    </row>
    <row r="417" spans="6:6" ht="14.5" customHeight="1" x14ac:dyDescent="0.25">
      <c r="F417" s="18"/>
    </row>
    <row r="418" spans="6:6" ht="14.5" customHeight="1" x14ac:dyDescent="0.25">
      <c r="F418" s="18"/>
    </row>
    <row r="419" spans="6:6" ht="14.5" customHeight="1" x14ac:dyDescent="0.25">
      <c r="F419" s="18"/>
    </row>
    <row r="420" spans="6:6" ht="14.5" customHeight="1" x14ac:dyDescent="0.25">
      <c r="F420" s="18"/>
    </row>
    <row r="421" spans="6:6" ht="14.5" customHeight="1" x14ac:dyDescent="0.25">
      <c r="F421" s="18"/>
    </row>
    <row r="422" spans="6:6" ht="14.5" customHeight="1" x14ac:dyDescent="0.25">
      <c r="F422" s="18"/>
    </row>
    <row r="423" spans="6:6" ht="14.5" customHeight="1" x14ac:dyDescent="0.25">
      <c r="F423" s="18"/>
    </row>
    <row r="424" spans="6:6" ht="14.5" customHeight="1" x14ac:dyDescent="0.25">
      <c r="F424" s="18"/>
    </row>
    <row r="425" spans="6:6" ht="14.5" customHeight="1" x14ac:dyDescent="0.25">
      <c r="F425" s="18"/>
    </row>
    <row r="426" spans="6:6" ht="14.5" customHeight="1" x14ac:dyDescent="0.25">
      <c r="F426" s="18"/>
    </row>
    <row r="427" spans="6:6" ht="14.5" customHeight="1" x14ac:dyDescent="0.25">
      <c r="F427" s="18"/>
    </row>
    <row r="428" spans="6:6" ht="14.5" customHeight="1" x14ac:dyDescent="0.25">
      <c r="F428" s="18"/>
    </row>
    <row r="429" spans="6:6" ht="14.5" customHeight="1" x14ac:dyDescent="0.25">
      <c r="F429" s="18"/>
    </row>
    <row r="430" spans="6:6" ht="14.5" customHeight="1" x14ac:dyDescent="0.25">
      <c r="F430" s="18"/>
    </row>
    <row r="431" spans="6:6" ht="14.5" customHeight="1" x14ac:dyDescent="0.25">
      <c r="F431" s="18"/>
    </row>
    <row r="432" spans="6:6" ht="14.5" customHeight="1" x14ac:dyDescent="0.25">
      <c r="F432" s="18"/>
    </row>
    <row r="433" spans="6:6" ht="14.5" customHeight="1" x14ac:dyDescent="0.25">
      <c r="F433" s="18"/>
    </row>
    <row r="434" spans="6:6" ht="14.5" customHeight="1" x14ac:dyDescent="0.25">
      <c r="F434" s="18"/>
    </row>
    <row r="435" spans="6:6" ht="14.5" customHeight="1" x14ac:dyDescent="0.25">
      <c r="F435" s="18"/>
    </row>
    <row r="436" spans="6:6" ht="14.5" customHeight="1" x14ac:dyDescent="0.25">
      <c r="F436" s="18"/>
    </row>
    <row r="437" spans="6:6" ht="14.5" customHeight="1" x14ac:dyDescent="0.25">
      <c r="F437" s="18"/>
    </row>
    <row r="438" spans="6:6" ht="14.5" customHeight="1" x14ac:dyDescent="0.25">
      <c r="F438" s="18"/>
    </row>
    <row r="439" spans="6:6" ht="14.5" customHeight="1" x14ac:dyDescent="0.25">
      <c r="F439" s="18"/>
    </row>
    <row r="440" spans="6:6" ht="14.5" customHeight="1" x14ac:dyDescent="0.25">
      <c r="F440" s="18"/>
    </row>
    <row r="441" spans="6:6" ht="14.5" customHeight="1" x14ac:dyDescent="0.25">
      <c r="F441" s="18"/>
    </row>
    <row r="442" spans="6:6" ht="14.5" customHeight="1" x14ac:dyDescent="0.25">
      <c r="F442" s="18"/>
    </row>
    <row r="443" spans="6:6" ht="14.5" customHeight="1" x14ac:dyDescent="0.25">
      <c r="F443" s="18"/>
    </row>
    <row r="444" spans="6:6" ht="14.5" customHeight="1" x14ac:dyDescent="0.25">
      <c r="F444" s="18"/>
    </row>
    <row r="445" spans="6:6" ht="14.5" customHeight="1" x14ac:dyDescent="0.25">
      <c r="F445" s="18"/>
    </row>
    <row r="446" spans="6:6" ht="14.5" customHeight="1" x14ac:dyDescent="0.25">
      <c r="F446" s="18"/>
    </row>
    <row r="447" spans="6:6" ht="14.5" customHeight="1" x14ac:dyDescent="0.25">
      <c r="F447" s="18"/>
    </row>
    <row r="448" spans="6:6" ht="14.5" customHeight="1" x14ac:dyDescent="0.25">
      <c r="F448" s="18"/>
    </row>
    <row r="449" spans="6:6" ht="14.5" customHeight="1" x14ac:dyDescent="0.25">
      <c r="F449" s="18"/>
    </row>
    <row r="450" spans="6:6" ht="14.5" customHeight="1" x14ac:dyDescent="0.25">
      <c r="F450" s="18"/>
    </row>
    <row r="451" spans="6:6" ht="14.5" customHeight="1" x14ac:dyDescent="0.25">
      <c r="F451" s="18"/>
    </row>
    <row r="452" spans="6:6" ht="14.5" customHeight="1" x14ac:dyDescent="0.25">
      <c r="F452" s="18"/>
    </row>
    <row r="453" spans="6:6" ht="14.5" customHeight="1" x14ac:dyDescent="0.25">
      <c r="F453" s="18"/>
    </row>
    <row r="454" spans="6:6" ht="14.5" customHeight="1" x14ac:dyDescent="0.25">
      <c r="F454" s="18"/>
    </row>
    <row r="455" spans="6:6" ht="14.5" customHeight="1" x14ac:dyDescent="0.25">
      <c r="F455" s="18"/>
    </row>
    <row r="456" spans="6:6" ht="14.5" customHeight="1" x14ac:dyDescent="0.25">
      <c r="F456" s="18"/>
    </row>
    <row r="457" spans="6:6" ht="14.5" customHeight="1" x14ac:dyDescent="0.25">
      <c r="F457" s="18"/>
    </row>
    <row r="458" spans="6:6" ht="14.5" customHeight="1" x14ac:dyDescent="0.25">
      <c r="F458" s="18"/>
    </row>
    <row r="459" spans="6:6" ht="14.5" customHeight="1" x14ac:dyDescent="0.25">
      <c r="F459" s="18"/>
    </row>
    <row r="460" spans="6:6" ht="14.5" customHeight="1" x14ac:dyDescent="0.25">
      <c r="F460" s="18"/>
    </row>
    <row r="461" spans="6:6" ht="14.5" customHeight="1" x14ac:dyDescent="0.25">
      <c r="F461" s="18"/>
    </row>
    <row r="462" spans="6:6" ht="14.5" customHeight="1" x14ac:dyDescent="0.25">
      <c r="F462" s="18"/>
    </row>
    <row r="463" spans="6:6" ht="14.5" customHeight="1" x14ac:dyDescent="0.25">
      <c r="F463" s="18"/>
    </row>
    <row r="464" spans="6:6" ht="14.5" customHeight="1" x14ac:dyDescent="0.25">
      <c r="F464" s="18"/>
    </row>
    <row r="465" spans="6:6" ht="14.5" customHeight="1" x14ac:dyDescent="0.25">
      <c r="F465" s="18"/>
    </row>
    <row r="466" spans="6:6" ht="14.5" customHeight="1" x14ac:dyDescent="0.25">
      <c r="F466" s="18"/>
    </row>
    <row r="467" spans="6:6" ht="14.5" customHeight="1" x14ac:dyDescent="0.25">
      <c r="F467" s="18"/>
    </row>
    <row r="468" spans="6:6" ht="14.5" customHeight="1" x14ac:dyDescent="0.25">
      <c r="F468" s="18"/>
    </row>
    <row r="469" spans="6:6" ht="14.5" customHeight="1" x14ac:dyDescent="0.25">
      <c r="F469" s="18"/>
    </row>
    <row r="470" spans="6:6" ht="14.5" customHeight="1" x14ac:dyDescent="0.25">
      <c r="F470" s="18"/>
    </row>
    <row r="471" spans="6:6" ht="14.5" customHeight="1" x14ac:dyDescent="0.25">
      <c r="F471" s="18"/>
    </row>
    <row r="472" spans="6:6" ht="14.5" customHeight="1" x14ac:dyDescent="0.25">
      <c r="F472" s="18"/>
    </row>
    <row r="473" spans="6:6" ht="14.5" customHeight="1" x14ac:dyDescent="0.25">
      <c r="F473" s="18"/>
    </row>
    <row r="474" spans="6:6" ht="14.5" customHeight="1" x14ac:dyDescent="0.25">
      <c r="F474" s="18"/>
    </row>
    <row r="475" spans="6:6" ht="14.5" customHeight="1" x14ac:dyDescent="0.25">
      <c r="F475" s="18"/>
    </row>
    <row r="476" spans="6:6" ht="14.5" customHeight="1" x14ac:dyDescent="0.25">
      <c r="F476" s="18"/>
    </row>
    <row r="477" spans="6:6" ht="14.5" customHeight="1" x14ac:dyDescent="0.25">
      <c r="F477" s="18"/>
    </row>
    <row r="478" spans="6:6" ht="14.5" customHeight="1" x14ac:dyDescent="0.25">
      <c r="F478" s="18"/>
    </row>
    <row r="479" spans="6:6" ht="14.5" customHeight="1" x14ac:dyDescent="0.25">
      <c r="F479" s="18"/>
    </row>
    <row r="480" spans="6:6" ht="14.5" customHeight="1" x14ac:dyDescent="0.25">
      <c r="F480" s="18"/>
    </row>
    <row r="481" spans="6:6" ht="14.5" customHeight="1" x14ac:dyDescent="0.25">
      <c r="F481" s="18"/>
    </row>
    <row r="482" spans="6:6" ht="14.5" customHeight="1" x14ac:dyDescent="0.25">
      <c r="F482" s="18"/>
    </row>
    <row r="483" spans="6:6" ht="14.5" customHeight="1" x14ac:dyDescent="0.25">
      <c r="F483" s="18"/>
    </row>
    <row r="484" spans="6:6" ht="14.5" customHeight="1" x14ac:dyDescent="0.25">
      <c r="F484" s="18"/>
    </row>
    <row r="485" spans="6:6" ht="14.5" customHeight="1" x14ac:dyDescent="0.25">
      <c r="F485" s="18"/>
    </row>
    <row r="486" spans="6:6" ht="14.5" customHeight="1" x14ac:dyDescent="0.25">
      <c r="F486" s="18"/>
    </row>
    <row r="487" spans="6:6" ht="14.5" customHeight="1" x14ac:dyDescent="0.25">
      <c r="F487" s="18"/>
    </row>
    <row r="488" spans="6:6" ht="14.5" customHeight="1" x14ac:dyDescent="0.25">
      <c r="F488" s="18"/>
    </row>
    <row r="489" spans="6:6" ht="14.5" customHeight="1" x14ac:dyDescent="0.25">
      <c r="F489" s="18"/>
    </row>
    <row r="490" spans="6:6" ht="14.5" customHeight="1" x14ac:dyDescent="0.25">
      <c r="F490" s="18"/>
    </row>
    <row r="491" spans="6:6" ht="14.5" customHeight="1" x14ac:dyDescent="0.25">
      <c r="F491" s="18"/>
    </row>
    <row r="492" spans="6:6" ht="14.5" customHeight="1" x14ac:dyDescent="0.25">
      <c r="F492" s="18"/>
    </row>
    <row r="493" spans="6:6" ht="14.5" customHeight="1" x14ac:dyDescent="0.25">
      <c r="F493" s="18"/>
    </row>
    <row r="494" spans="6:6" ht="14.5" customHeight="1" x14ac:dyDescent="0.25">
      <c r="F494" s="18"/>
    </row>
    <row r="495" spans="6:6" ht="14.5" customHeight="1" x14ac:dyDescent="0.25">
      <c r="F495" s="18"/>
    </row>
    <row r="496" spans="6:6" ht="14.5" customHeight="1" x14ac:dyDescent="0.25">
      <c r="F496" s="18"/>
    </row>
    <row r="497" spans="6:6" ht="14.5" customHeight="1" x14ac:dyDescent="0.25">
      <c r="F497" s="18"/>
    </row>
    <row r="498" spans="6:6" ht="14.5" customHeight="1" x14ac:dyDescent="0.25">
      <c r="F498" s="18"/>
    </row>
    <row r="499" spans="6:6" ht="14.5" customHeight="1" x14ac:dyDescent="0.25">
      <c r="F499" s="18"/>
    </row>
    <row r="500" spans="6:6" ht="14.5" customHeight="1" x14ac:dyDescent="0.25">
      <c r="F500" s="18"/>
    </row>
    <row r="501" spans="6:6" ht="14.5" customHeight="1" x14ac:dyDescent="0.25">
      <c r="F501" s="18"/>
    </row>
    <row r="502" spans="6:6" ht="14.5" customHeight="1" x14ac:dyDescent="0.25">
      <c r="F502" s="18"/>
    </row>
    <row r="503" spans="6:6" ht="14.5" customHeight="1" x14ac:dyDescent="0.25">
      <c r="F503" s="18"/>
    </row>
    <row r="504" spans="6:6" ht="14.5" customHeight="1" x14ac:dyDescent="0.25">
      <c r="F504" s="18"/>
    </row>
    <row r="505" spans="6:6" ht="14.5" customHeight="1" x14ac:dyDescent="0.25">
      <c r="F505" s="18"/>
    </row>
    <row r="506" spans="6:6" ht="14.5" customHeight="1" x14ac:dyDescent="0.25">
      <c r="F506" s="18"/>
    </row>
    <row r="507" spans="6:6" ht="14.5" customHeight="1" x14ac:dyDescent="0.25">
      <c r="F507" s="18"/>
    </row>
    <row r="508" spans="6:6" ht="14.5" customHeight="1" x14ac:dyDescent="0.25">
      <c r="F508" s="18"/>
    </row>
    <row r="509" spans="6:6" ht="14.5" customHeight="1" x14ac:dyDescent="0.25">
      <c r="F509" s="18"/>
    </row>
    <row r="510" spans="6:6" ht="14.5" customHeight="1" x14ac:dyDescent="0.25">
      <c r="F510" s="18"/>
    </row>
    <row r="511" spans="6:6" ht="14.5" customHeight="1" x14ac:dyDescent="0.25">
      <c r="F511" s="18"/>
    </row>
    <row r="512" spans="6:6" ht="14.5" customHeight="1" x14ac:dyDescent="0.25">
      <c r="F512" s="18"/>
    </row>
    <row r="513" spans="6:6" ht="14.5" customHeight="1" x14ac:dyDescent="0.25">
      <c r="F513" s="18"/>
    </row>
    <row r="514" spans="6:6" ht="14.5" customHeight="1" x14ac:dyDescent="0.25">
      <c r="F514" s="18"/>
    </row>
    <row r="515" spans="6:6" ht="14.5" customHeight="1" x14ac:dyDescent="0.25">
      <c r="F515" s="18"/>
    </row>
    <row r="516" spans="6:6" ht="14.5" customHeight="1" x14ac:dyDescent="0.25">
      <c r="F516" s="18"/>
    </row>
    <row r="517" spans="6:6" ht="14.5" customHeight="1" x14ac:dyDescent="0.25">
      <c r="F517" s="18"/>
    </row>
    <row r="518" spans="6:6" ht="14.5" customHeight="1" x14ac:dyDescent="0.25">
      <c r="F518" s="18"/>
    </row>
    <row r="519" spans="6:6" ht="14.5" customHeight="1" x14ac:dyDescent="0.25">
      <c r="F519" s="18"/>
    </row>
    <row r="520" spans="6:6" ht="14.5" customHeight="1" x14ac:dyDescent="0.25">
      <c r="F520" s="18"/>
    </row>
    <row r="521" spans="6:6" ht="14.5" customHeight="1" x14ac:dyDescent="0.25">
      <c r="F521" s="18"/>
    </row>
    <row r="522" spans="6:6" ht="14.5" customHeight="1" x14ac:dyDescent="0.25">
      <c r="F522" s="18"/>
    </row>
    <row r="523" spans="6:6" ht="14.5" customHeight="1" x14ac:dyDescent="0.25">
      <c r="F523" s="18"/>
    </row>
    <row r="524" spans="6:6" ht="14.5" customHeight="1" x14ac:dyDescent="0.25">
      <c r="F524" s="18"/>
    </row>
    <row r="525" spans="6:6" ht="14.5" customHeight="1" x14ac:dyDescent="0.25">
      <c r="F525" s="18"/>
    </row>
    <row r="526" spans="6:6" ht="14.5" customHeight="1" x14ac:dyDescent="0.25">
      <c r="F526" s="18"/>
    </row>
    <row r="527" spans="6:6" ht="14.5" customHeight="1" x14ac:dyDescent="0.25">
      <c r="F527" s="18"/>
    </row>
    <row r="528" spans="6:6" ht="14.5" customHeight="1" x14ac:dyDescent="0.25">
      <c r="F528" s="18"/>
    </row>
    <row r="529" spans="6:6" ht="14.5" customHeight="1" x14ac:dyDescent="0.25">
      <c r="F529" s="18"/>
    </row>
    <row r="530" spans="6:6" ht="14.5" customHeight="1" x14ac:dyDescent="0.25">
      <c r="F530" s="18"/>
    </row>
    <row r="531" spans="6:6" ht="14.5" customHeight="1" x14ac:dyDescent="0.25">
      <c r="F531" s="18"/>
    </row>
    <row r="532" spans="6:6" ht="14.5" customHeight="1" x14ac:dyDescent="0.25">
      <c r="F532" s="18"/>
    </row>
    <row r="533" spans="6:6" ht="14.5" customHeight="1" x14ac:dyDescent="0.25">
      <c r="F533" s="18"/>
    </row>
    <row r="534" spans="6:6" ht="14.5" customHeight="1" x14ac:dyDescent="0.25">
      <c r="F534" s="18"/>
    </row>
    <row r="535" spans="6:6" ht="14.5" customHeight="1" x14ac:dyDescent="0.25">
      <c r="F535" s="18"/>
    </row>
    <row r="536" spans="6:6" ht="14.5" customHeight="1" x14ac:dyDescent="0.25">
      <c r="F536" s="18"/>
    </row>
    <row r="537" spans="6:6" ht="14.5" customHeight="1" x14ac:dyDescent="0.25">
      <c r="F537" s="18"/>
    </row>
    <row r="538" spans="6:6" ht="14.5" customHeight="1" x14ac:dyDescent="0.25">
      <c r="F538" s="18"/>
    </row>
    <row r="539" spans="6:6" ht="14.5" customHeight="1" x14ac:dyDescent="0.25">
      <c r="F539" s="18"/>
    </row>
    <row r="540" spans="6:6" ht="14.5" customHeight="1" x14ac:dyDescent="0.25">
      <c r="F540" s="18"/>
    </row>
    <row r="541" spans="6:6" ht="14.5" customHeight="1" x14ac:dyDescent="0.25">
      <c r="F541" s="18"/>
    </row>
    <row r="542" spans="6:6" ht="14.5" customHeight="1" x14ac:dyDescent="0.25">
      <c r="F542" s="18"/>
    </row>
    <row r="543" spans="6:6" ht="14.5" customHeight="1" x14ac:dyDescent="0.25">
      <c r="F543" s="18"/>
    </row>
    <row r="544" spans="6:6" ht="14.5" customHeight="1" x14ac:dyDescent="0.25">
      <c r="F544" s="18"/>
    </row>
    <row r="545" spans="6:6" ht="14.5" customHeight="1" x14ac:dyDescent="0.25">
      <c r="F545" s="18"/>
    </row>
    <row r="546" spans="6:6" ht="14.5" customHeight="1" x14ac:dyDescent="0.25">
      <c r="F546" s="18"/>
    </row>
    <row r="547" spans="6:6" ht="14.5" customHeight="1" x14ac:dyDescent="0.25">
      <c r="F547" s="18"/>
    </row>
    <row r="548" spans="6:6" ht="14.5" customHeight="1" x14ac:dyDescent="0.25">
      <c r="F548" s="18"/>
    </row>
    <row r="549" spans="6:6" ht="14.5" customHeight="1" x14ac:dyDescent="0.25">
      <c r="F549" s="18"/>
    </row>
    <row r="550" spans="6:6" ht="14.5" customHeight="1" x14ac:dyDescent="0.25">
      <c r="F550" s="18"/>
    </row>
    <row r="551" spans="6:6" ht="14.5" customHeight="1" x14ac:dyDescent="0.25">
      <c r="F551" s="18"/>
    </row>
    <row r="552" spans="6:6" ht="14.5" customHeight="1" x14ac:dyDescent="0.25">
      <c r="F552" s="18"/>
    </row>
    <row r="553" spans="6:6" ht="14.5" customHeight="1" x14ac:dyDescent="0.25">
      <c r="F553" s="18"/>
    </row>
    <row r="554" spans="6:6" ht="14.5" customHeight="1" x14ac:dyDescent="0.25">
      <c r="F554" s="18"/>
    </row>
    <row r="555" spans="6:6" ht="14.5" customHeight="1" x14ac:dyDescent="0.25">
      <c r="F555" s="18"/>
    </row>
    <row r="556" spans="6:6" ht="14.5" customHeight="1" x14ac:dyDescent="0.25">
      <c r="F556" s="18"/>
    </row>
    <row r="557" spans="6:6" ht="14.5" customHeight="1" x14ac:dyDescent="0.25">
      <c r="F557" s="18"/>
    </row>
    <row r="558" spans="6:6" ht="14.5" customHeight="1" x14ac:dyDescent="0.25">
      <c r="F558" s="18"/>
    </row>
    <row r="559" spans="6:6" ht="14.5" customHeight="1" x14ac:dyDescent="0.25">
      <c r="F559" s="18"/>
    </row>
    <row r="560" spans="6:6" ht="14.5" customHeight="1" x14ac:dyDescent="0.25">
      <c r="F560" s="18"/>
    </row>
    <row r="561" spans="6:6" ht="14.5" customHeight="1" x14ac:dyDescent="0.25">
      <c r="F561" s="18"/>
    </row>
    <row r="562" spans="6:6" ht="14.5" customHeight="1" x14ac:dyDescent="0.25">
      <c r="F562" s="18"/>
    </row>
    <row r="563" spans="6:6" ht="14.5" customHeight="1" x14ac:dyDescent="0.25">
      <c r="F563" s="18"/>
    </row>
    <row r="564" spans="6:6" ht="14.5" customHeight="1" x14ac:dyDescent="0.25">
      <c r="F564" s="18"/>
    </row>
    <row r="565" spans="6:6" ht="14.5" customHeight="1" x14ac:dyDescent="0.25">
      <c r="F565" s="18"/>
    </row>
    <row r="566" spans="6:6" ht="14.5" customHeight="1" x14ac:dyDescent="0.25">
      <c r="F566" s="18"/>
    </row>
    <row r="567" spans="6:6" ht="14.5" customHeight="1" x14ac:dyDescent="0.25">
      <c r="F567" s="18"/>
    </row>
    <row r="568" spans="6:6" ht="14.5" customHeight="1" x14ac:dyDescent="0.25">
      <c r="F568" s="18"/>
    </row>
    <row r="569" spans="6:6" ht="14.5" customHeight="1" x14ac:dyDescent="0.25">
      <c r="F569" s="18"/>
    </row>
  </sheetData>
  <mergeCells count="10">
    <mergeCell ref="A5:A6"/>
    <mergeCell ref="A7:A17"/>
    <mergeCell ref="G27:G28"/>
    <mergeCell ref="H27:I27"/>
    <mergeCell ref="J27:T27"/>
    <mergeCell ref="G3:U3"/>
    <mergeCell ref="G26:U26"/>
    <mergeCell ref="G4:G5"/>
    <mergeCell ref="H4:I4"/>
    <mergeCell ref="J4:T4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63E7-97D4-4372-92C0-A14B2C8B3C9D}">
  <dimension ref="A1:Q37"/>
  <sheetViews>
    <sheetView zoomScaleNormal="100" workbookViewId="0">
      <selection activeCell="E17" sqref="E17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16" bestFit="1" customWidth="1"/>
    <col min="6" max="6" width="10.1796875" style="1" customWidth="1"/>
    <col min="7" max="7" width="9.54296875" style="1" customWidth="1"/>
    <col min="8" max="73" width="10.54296875" style="1" customWidth="1"/>
    <col min="74" max="16384" width="44.81640625" style="1"/>
  </cols>
  <sheetData>
    <row r="1" spans="1:17" ht="13" x14ac:dyDescent="0.3">
      <c r="A1" s="3" t="s">
        <v>1010</v>
      </c>
      <c r="B1" s="3"/>
      <c r="C1" s="3"/>
      <c r="D1" s="3"/>
      <c r="E1" s="193"/>
      <c r="F1" s="186"/>
      <c r="G1" s="7" t="s">
        <v>239</v>
      </c>
      <c r="H1" s="186"/>
      <c r="I1" s="186"/>
      <c r="J1" s="186"/>
      <c r="K1" s="186"/>
      <c r="L1" s="186"/>
      <c r="M1" s="186"/>
    </row>
    <row r="2" spans="1:17" x14ac:dyDescent="0.25">
      <c r="B2" s="186"/>
      <c r="C2" s="186"/>
      <c r="D2" s="186"/>
      <c r="E2" s="193"/>
      <c r="F2" s="186"/>
      <c r="G2" s="186"/>
      <c r="H2" s="186"/>
      <c r="I2" s="186"/>
    </row>
    <row r="3" spans="1:17" ht="13" x14ac:dyDescent="0.3">
      <c r="A3" s="192" t="s">
        <v>397</v>
      </c>
      <c r="B3" s="192" t="s">
        <v>475</v>
      </c>
      <c r="C3" s="191" t="s">
        <v>243</v>
      </c>
      <c r="D3" s="191" t="s">
        <v>219</v>
      </c>
      <c r="E3" s="191" t="s">
        <v>474</v>
      </c>
      <c r="F3" s="186"/>
      <c r="G3" s="186"/>
      <c r="H3" s="186"/>
      <c r="I3" s="186"/>
      <c r="J3" s="186"/>
      <c r="K3" s="186"/>
      <c r="L3" s="186"/>
      <c r="M3" s="186"/>
    </row>
    <row r="4" spans="1:17" ht="12.65" customHeight="1" x14ac:dyDescent="0.25">
      <c r="A4" s="596">
        <v>2024</v>
      </c>
      <c r="B4" s="48" t="s">
        <v>231</v>
      </c>
      <c r="C4" s="500">
        <v>108.42472782999999</v>
      </c>
      <c r="D4" s="500">
        <v>489.22186883999905</v>
      </c>
      <c r="E4" s="190">
        <f>Table464413[[#This Row],[Column2]]-Table464413[[#This Row],[Column3]]</f>
        <v>-380.79714100999905</v>
      </c>
      <c r="F4" s="186"/>
      <c r="G4" s="498"/>
      <c r="H4" s="498"/>
      <c r="I4" s="186"/>
      <c r="J4" s="186"/>
      <c r="K4" s="186"/>
      <c r="L4" s="186"/>
      <c r="M4" s="186"/>
      <c r="P4" s="13"/>
      <c r="Q4" s="13"/>
    </row>
    <row r="5" spans="1:17" ht="12.65" customHeight="1" x14ac:dyDescent="0.25">
      <c r="A5" s="597"/>
      <c r="B5" s="48" t="s">
        <v>232</v>
      </c>
      <c r="C5" s="151">
        <v>133.47300591999999</v>
      </c>
      <c r="D5" s="151">
        <v>434.49021052000097</v>
      </c>
      <c r="E5" s="189">
        <f>Table464413[[#This Row],[Column2]]-Table464413[[#This Row],[Column3]]</f>
        <v>-301.01720460000098</v>
      </c>
      <c r="F5" s="186"/>
      <c r="G5" s="498"/>
      <c r="H5" s="498"/>
      <c r="I5" s="186"/>
      <c r="J5" s="186"/>
      <c r="K5" s="186"/>
      <c r="L5" s="186"/>
      <c r="M5" s="186"/>
      <c r="P5" s="13"/>
      <c r="Q5" s="13"/>
    </row>
    <row r="6" spans="1:17" ht="15.65" customHeight="1" x14ac:dyDescent="0.25">
      <c r="A6" s="598" t="s">
        <v>477</v>
      </c>
      <c r="B6" s="48" t="s">
        <v>221</v>
      </c>
      <c r="C6" s="151">
        <v>127.56322879000001</v>
      </c>
      <c r="D6" s="151">
        <v>286.56316382</v>
      </c>
      <c r="E6" s="189">
        <f>Table464413[[#This Row],[Column2]]-Table464413[[#This Row],[Column3]]</f>
        <v>-158.99993502999999</v>
      </c>
      <c r="F6" s="186"/>
      <c r="G6" s="498"/>
      <c r="H6" s="498"/>
      <c r="I6" s="186"/>
      <c r="J6" s="186"/>
      <c r="K6" s="186"/>
      <c r="L6" s="186"/>
      <c r="M6" s="186"/>
      <c r="P6" s="13"/>
      <c r="Q6" s="13"/>
    </row>
    <row r="7" spans="1:17" ht="16.5" customHeight="1" x14ac:dyDescent="0.25">
      <c r="A7" s="599"/>
      <c r="B7" s="48" t="s">
        <v>222</v>
      </c>
      <c r="C7" s="151">
        <v>71.420575209999996</v>
      </c>
      <c r="D7" s="151">
        <v>338.72973273000099</v>
      </c>
      <c r="E7" s="189">
        <f>Table464413[[#This Row],[Column2]]-Table464413[[#This Row],[Column3]]</f>
        <v>-267.30915752000101</v>
      </c>
      <c r="F7" s="186"/>
      <c r="G7" s="498"/>
      <c r="H7" s="498"/>
      <c r="I7" s="186"/>
      <c r="J7" s="186"/>
      <c r="K7" s="186"/>
      <c r="L7" s="186"/>
      <c r="M7" s="186"/>
      <c r="P7" s="13"/>
      <c r="Q7" s="13"/>
    </row>
    <row r="8" spans="1:17" ht="12.65" customHeight="1" x14ac:dyDescent="0.25">
      <c r="A8" s="599"/>
      <c r="B8" s="48" t="s">
        <v>223</v>
      </c>
      <c r="C8" s="151">
        <v>72.697408680000009</v>
      </c>
      <c r="D8" s="151">
        <v>255.50353156000099</v>
      </c>
      <c r="E8" s="189">
        <f>Table464413[[#This Row],[Column2]]-Table464413[[#This Row],[Column3]]</f>
        <v>-182.806122880001</v>
      </c>
      <c r="F8" s="186"/>
      <c r="G8" s="498"/>
      <c r="H8" s="498"/>
      <c r="I8" s="186"/>
      <c r="J8" s="186"/>
      <c r="K8" s="186"/>
      <c r="L8" s="186"/>
      <c r="M8" s="186"/>
      <c r="P8" s="13"/>
      <c r="Q8" s="13"/>
    </row>
    <row r="9" spans="1:17" ht="12.65" customHeight="1" x14ac:dyDescent="0.25">
      <c r="A9" s="599"/>
      <c r="B9" s="48" t="s">
        <v>224</v>
      </c>
      <c r="C9" s="151">
        <v>62.156433880000002</v>
      </c>
      <c r="D9" s="151">
        <v>250.30074699000002</v>
      </c>
      <c r="E9" s="189">
        <f>Table464413[[#This Row],[Column2]]-Table464413[[#This Row],[Column3]]</f>
        <v>-188.14431311000001</v>
      </c>
      <c r="F9" s="186"/>
      <c r="G9" s="498"/>
      <c r="H9" s="498"/>
      <c r="I9" s="186"/>
      <c r="J9" s="186"/>
      <c r="K9" s="186"/>
      <c r="L9" s="186"/>
      <c r="M9" s="186"/>
      <c r="P9" s="13"/>
      <c r="Q9" s="13"/>
    </row>
    <row r="10" spans="1:17" ht="12.65" customHeight="1" x14ac:dyDescent="0.25">
      <c r="A10" s="599"/>
      <c r="B10" s="48" t="s">
        <v>225</v>
      </c>
      <c r="C10" s="151">
        <v>83.740222079999995</v>
      </c>
      <c r="D10" s="151">
        <v>261.635311040001</v>
      </c>
      <c r="E10" s="189">
        <f>Table464413[[#This Row],[Column2]]-Table464413[[#This Row],[Column3]]</f>
        <v>-177.895088960001</v>
      </c>
      <c r="F10" s="186"/>
      <c r="G10" s="498"/>
      <c r="H10" s="498"/>
      <c r="I10" s="186"/>
      <c r="J10" s="186"/>
      <c r="K10" s="186"/>
      <c r="L10" s="186"/>
      <c r="M10" s="186"/>
      <c r="P10" s="13"/>
      <c r="Q10" s="13"/>
    </row>
    <row r="11" spans="1:17" ht="12.65" customHeight="1" x14ac:dyDescent="0.25">
      <c r="A11" s="599"/>
      <c r="B11" s="48" t="s">
        <v>226</v>
      </c>
      <c r="C11" s="151">
        <v>95.837890860000002</v>
      </c>
      <c r="D11" s="151">
        <v>282.28039374000002</v>
      </c>
      <c r="E11" s="189">
        <f>Table464413[[#This Row],[Column2]]-Table464413[[#This Row],[Column3]]</f>
        <v>-186.44250288000001</v>
      </c>
      <c r="F11" s="186"/>
      <c r="G11" s="498"/>
      <c r="H11" s="498"/>
      <c r="I11" s="186"/>
      <c r="J11" s="186"/>
      <c r="K11" s="186"/>
      <c r="L11" s="186"/>
      <c r="M11" s="186"/>
      <c r="P11" s="13"/>
      <c r="Q11" s="13"/>
    </row>
    <row r="12" spans="1:17" ht="12.65" customHeight="1" x14ac:dyDescent="0.25">
      <c r="A12" s="599"/>
      <c r="B12" s="48" t="s">
        <v>227</v>
      </c>
      <c r="C12" s="151">
        <v>66.895570590000005</v>
      </c>
      <c r="D12" s="151">
        <v>321.28350352999996</v>
      </c>
      <c r="E12" s="189">
        <f>Table464413[[#This Row],[Column2]]-Table464413[[#This Row],[Column3]]</f>
        <v>-254.38793293999996</v>
      </c>
      <c r="F12" s="186"/>
      <c r="G12" s="498"/>
      <c r="H12" s="498"/>
      <c r="I12" s="186"/>
      <c r="J12" s="186"/>
      <c r="K12" s="186"/>
      <c r="L12" s="186"/>
      <c r="M12" s="186"/>
      <c r="P12" s="13"/>
      <c r="Q12" s="13"/>
    </row>
    <row r="13" spans="1:17" s="3" customFormat="1" ht="14.5" customHeight="1" x14ac:dyDescent="0.3">
      <c r="A13" s="599"/>
      <c r="B13" s="48" t="s">
        <v>228</v>
      </c>
      <c r="C13" s="151">
        <v>82.138313420000003</v>
      </c>
      <c r="D13" s="151">
        <v>349.25849432000103</v>
      </c>
      <c r="E13" s="189">
        <f>Table464413[[#This Row],[Column2]]-Table464413[[#This Row],[Column3]]</f>
        <v>-267.12018090000106</v>
      </c>
      <c r="F13" s="186"/>
      <c r="G13" s="498"/>
      <c r="H13" s="498"/>
      <c r="I13" s="188"/>
      <c r="J13" s="188"/>
      <c r="K13" s="188"/>
      <c r="L13" s="188"/>
      <c r="M13" s="188"/>
      <c r="P13" s="13"/>
      <c r="Q13" s="13"/>
    </row>
    <row r="14" spans="1:17" s="3" customFormat="1" ht="13" x14ac:dyDescent="0.3">
      <c r="A14" s="599"/>
      <c r="B14" s="48" t="s">
        <v>941</v>
      </c>
      <c r="C14" s="151">
        <v>50.515484799999996</v>
      </c>
      <c r="D14" s="151">
        <v>260.10446669999999</v>
      </c>
      <c r="E14" s="189">
        <f>Table464413[[#This Row],[Column2]]-Table464413[[#This Row],[Column3]]</f>
        <v>-209.58898189999999</v>
      </c>
      <c r="F14" s="186"/>
      <c r="G14" s="498"/>
      <c r="H14" s="498"/>
      <c r="I14" s="188"/>
      <c r="J14" s="188"/>
      <c r="K14" s="188"/>
      <c r="L14" s="188"/>
      <c r="M14" s="188"/>
      <c r="P14" s="13"/>
      <c r="Q14" s="13"/>
    </row>
    <row r="15" spans="1:17" s="3" customFormat="1" ht="13" x14ac:dyDescent="0.3">
      <c r="A15" s="599"/>
      <c r="B15" s="48" t="s">
        <v>230</v>
      </c>
      <c r="C15" s="151">
        <v>125.28720745999999</v>
      </c>
      <c r="D15" s="151">
        <v>677.17027707000102</v>
      </c>
      <c r="E15" s="189">
        <f>Table464413[[#This Row],[Column2]]-Table464413[[#This Row],[Column3]]</f>
        <v>-551.88306961000103</v>
      </c>
      <c r="F15" s="186"/>
      <c r="G15" s="498"/>
      <c r="H15" s="498"/>
      <c r="I15" s="188"/>
      <c r="J15" s="188"/>
      <c r="K15" s="188"/>
      <c r="L15" s="188"/>
      <c r="M15" s="188"/>
      <c r="P15" s="13"/>
      <c r="Q15" s="13"/>
    </row>
    <row r="16" spans="1:17" ht="12.5" customHeight="1" x14ac:dyDescent="0.25">
      <c r="A16" s="600"/>
      <c r="B16" s="48" t="s">
        <v>231</v>
      </c>
      <c r="C16" s="499">
        <v>178.88463299</v>
      </c>
      <c r="D16" s="499">
        <v>430.23710824</v>
      </c>
      <c r="E16" s="187">
        <f>Table464413[[#This Row],[Column2]]-Table464413[[#This Row],[Column3]]</f>
        <v>-251.35247525</v>
      </c>
      <c r="F16" s="186"/>
      <c r="G16" s="498"/>
      <c r="H16" s="498"/>
      <c r="P16" s="13"/>
      <c r="Q16" s="13"/>
    </row>
    <row r="17" spans="1:5" ht="13" x14ac:dyDescent="0.3">
      <c r="A17" s="185" t="s">
        <v>442</v>
      </c>
      <c r="B17" s="184"/>
      <c r="C17" s="183">
        <f>AVERAGE(C4:C16)</f>
        <v>96.848823269999997</v>
      </c>
      <c r="D17" s="182">
        <f>AVERAGE(D4:D16)</f>
        <v>356.67529300769263</v>
      </c>
      <c r="E17" s="497">
        <f>AVERAGE(E4:E16)</f>
        <v>-259.82646973769266</v>
      </c>
    </row>
    <row r="19" spans="1:5" x14ac:dyDescent="0.25">
      <c r="D19" s="2"/>
    </row>
    <row r="37" spans="2:2" x14ac:dyDescent="0.25">
      <c r="B37" s="13"/>
    </row>
  </sheetData>
  <mergeCells count="2">
    <mergeCell ref="A4:A5"/>
    <mergeCell ref="A6:A16"/>
  </mergeCells>
  <hyperlinks>
    <hyperlink ref="G1" location="'Table of Content'!A1" display="Table of Content" xr:uid="{AD684EA7-D44B-494E-87EC-03D43BD7111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4C3A-EBDD-465D-903D-BA18853E4106}">
  <dimension ref="A1:T30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17.81640625" style="135" customWidth="1"/>
    <col min="2" max="2" width="21.81640625" style="1" bestFit="1" customWidth="1"/>
    <col min="3" max="3" width="16" style="1" bestFit="1" customWidth="1"/>
    <col min="4" max="5" width="16" style="1" customWidth="1"/>
    <col min="6" max="6" width="14.36328125" style="1" bestFit="1" customWidth="1"/>
    <col min="7" max="7" width="11.54296875" style="1" customWidth="1"/>
    <col min="8" max="8" width="14.1796875" style="14" bestFit="1" customWidth="1"/>
    <col min="9" max="16384" width="9.1796875" style="1"/>
  </cols>
  <sheetData>
    <row r="1" spans="1:17" ht="13" x14ac:dyDescent="0.3">
      <c r="A1" s="11" t="s">
        <v>1013</v>
      </c>
      <c r="B1" s="11"/>
      <c r="C1" s="11"/>
      <c r="D1" s="11"/>
      <c r="E1" s="11"/>
      <c r="H1" s="508" t="s">
        <v>239</v>
      </c>
    </row>
    <row r="2" spans="1:17" ht="13" x14ac:dyDescent="0.3">
      <c r="A2" s="115"/>
      <c r="B2" s="3"/>
      <c r="C2" s="3"/>
      <c r="D2" s="3"/>
      <c r="E2" s="3"/>
    </row>
    <row r="3" spans="1:17" ht="13" x14ac:dyDescent="0.3">
      <c r="A3" s="601" t="s">
        <v>1012</v>
      </c>
      <c r="B3" s="602"/>
      <c r="C3" s="602"/>
      <c r="D3" s="602"/>
      <c r="E3" s="602"/>
      <c r="F3" s="603"/>
    </row>
    <row r="4" spans="1:17" ht="14.5" customHeight="1" x14ac:dyDescent="0.3">
      <c r="A4" s="365" t="s">
        <v>448</v>
      </c>
      <c r="B4" s="370" t="s">
        <v>298</v>
      </c>
      <c r="C4" s="370" t="s">
        <v>297</v>
      </c>
      <c r="D4" s="370" t="s">
        <v>447</v>
      </c>
      <c r="E4" s="370" t="s">
        <v>444</v>
      </c>
      <c r="F4" s="503" t="s">
        <v>446</v>
      </c>
    </row>
    <row r="5" spans="1:17" x14ac:dyDescent="0.25">
      <c r="A5" s="505" t="s">
        <v>231</v>
      </c>
      <c r="B5" s="507">
        <v>0</v>
      </c>
      <c r="C5" s="507">
        <v>6.9447600000000003E-3</v>
      </c>
      <c r="D5" s="507">
        <v>6.9447600000000003E-3</v>
      </c>
      <c r="E5" s="507">
        <v>42.806505850000001</v>
      </c>
      <c r="F5" s="366">
        <v>0</v>
      </c>
      <c r="L5" s="4"/>
      <c r="M5" s="4"/>
      <c r="N5" s="2"/>
      <c r="O5" s="2"/>
      <c r="P5" s="2"/>
      <c r="Q5" s="2"/>
    </row>
    <row r="6" spans="1:17" x14ac:dyDescent="0.25">
      <c r="A6" s="505" t="s">
        <v>232</v>
      </c>
      <c r="B6" s="506">
        <v>1.9669300000000001E-2</v>
      </c>
      <c r="C6" s="506">
        <v>0</v>
      </c>
      <c r="D6" s="506">
        <v>1.9669300000000001E-2</v>
      </c>
      <c r="E6" s="506">
        <v>29.35700628</v>
      </c>
      <c r="F6" s="367">
        <f>(Table505473[[#This Row],[Column2]]/E5)-1</f>
        <v>-0.31419288500511888</v>
      </c>
      <c r="L6" s="4"/>
      <c r="M6" s="4"/>
      <c r="N6" s="2"/>
      <c r="O6" s="2"/>
      <c r="P6" s="2"/>
      <c r="Q6" s="2"/>
    </row>
    <row r="7" spans="1:17" x14ac:dyDescent="0.25">
      <c r="A7" s="505" t="s">
        <v>221</v>
      </c>
      <c r="B7" s="506">
        <v>0</v>
      </c>
      <c r="C7" s="506">
        <v>0</v>
      </c>
      <c r="D7" s="506">
        <v>0</v>
      </c>
      <c r="E7" s="506">
        <v>21.294727429999998</v>
      </c>
      <c r="F7" s="367">
        <f>(Table505473[[#This Row],[Column2]]/E6)-1</f>
        <v>-0.27462878105158073</v>
      </c>
      <c r="G7" s="15"/>
      <c r="L7" s="4"/>
      <c r="M7" s="4"/>
      <c r="N7" s="2"/>
      <c r="O7" s="2"/>
      <c r="P7" s="2"/>
      <c r="Q7" s="2"/>
    </row>
    <row r="8" spans="1:17" x14ac:dyDescent="0.25">
      <c r="A8" s="505" t="s">
        <v>222</v>
      </c>
      <c r="B8" s="506">
        <v>6.7999999999999999E-5</v>
      </c>
      <c r="C8" s="506">
        <v>0</v>
      </c>
      <c r="D8" s="506">
        <v>6.7999999999999999E-5</v>
      </c>
      <c r="E8" s="506">
        <v>29.08134334</v>
      </c>
      <c r="F8" s="367">
        <f>(Table505473[[#This Row],[Column2]]/E7)-1</f>
        <v>0.36565933682861895</v>
      </c>
      <c r="G8" s="193"/>
      <c r="H8" s="193"/>
      <c r="L8" s="4"/>
      <c r="M8" s="4"/>
      <c r="N8" s="2"/>
      <c r="O8" s="2"/>
      <c r="P8" s="2"/>
      <c r="Q8" s="2"/>
    </row>
    <row r="9" spans="1:17" x14ac:dyDescent="0.25">
      <c r="A9" s="505" t="s">
        <v>223</v>
      </c>
      <c r="B9" s="506">
        <v>0</v>
      </c>
      <c r="C9" s="506">
        <v>0</v>
      </c>
      <c r="D9" s="506">
        <v>0</v>
      </c>
      <c r="E9" s="506">
        <v>31.404238739999997</v>
      </c>
      <c r="F9" s="367">
        <f>(Table505473[[#This Row],[Column2]]/E8)-1</f>
        <v>7.9875794348363671E-2</v>
      </c>
      <c r="G9" s="138"/>
      <c r="H9" s="193"/>
      <c r="L9" s="4"/>
      <c r="M9" s="4"/>
      <c r="N9" s="2"/>
      <c r="O9" s="2"/>
      <c r="P9" s="2"/>
      <c r="Q9" s="2"/>
    </row>
    <row r="10" spans="1:17" x14ac:dyDescent="0.25">
      <c r="A10" s="505" t="s">
        <v>224</v>
      </c>
      <c r="B10" s="506">
        <v>0</v>
      </c>
      <c r="C10" s="506">
        <v>0</v>
      </c>
      <c r="D10" s="506">
        <v>0</v>
      </c>
      <c r="E10" s="506">
        <v>42.336575840000002</v>
      </c>
      <c r="F10" s="367">
        <f>(Table505473[[#This Row],[Column2]]/E9)-1</f>
        <v>0.34811660905110053</v>
      </c>
      <c r="L10" s="4"/>
      <c r="M10" s="4"/>
      <c r="N10" s="2"/>
      <c r="O10" s="2"/>
      <c r="P10" s="2"/>
      <c r="Q10" s="2"/>
    </row>
    <row r="11" spans="1:17" x14ac:dyDescent="0.25">
      <c r="A11" s="505" t="s">
        <v>225</v>
      </c>
      <c r="B11" s="506">
        <v>2.0000000000000001E-4</v>
      </c>
      <c r="C11" s="506">
        <v>0</v>
      </c>
      <c r="D11" s="506">
        <v>2.0000000000000001E-4</v>
      </c>
      <c r="E11" s="506">
        <v>22.141461660000001</v>
      </c>
      <c r="F11" s="367">
        <f>(Table505473[[#This Row],[Column2]]/E10)-1</f>
        <v>-0.4770134045871387</v>
      </c>
      <c r="L11" s="4"/>
      <c r="M11" s="4"/>
      <c r="N11" s="2"/>
      <c r="O11" s="2"/>
      <c r="P11" s="2"/>
      <c r="Q11" s="2"/>
    </row>
    <row r="12" spans="1:17" x14ac:dyDescent="0.25">
      <c r="A12" s="505" t="s">
        <v>226</v>
      </c>
      <c r="B12" s="506">
        <v>0</v>
      </c>
      <c r="C12" s="506">
        <v>0</v>
      </c>
      <c r="D12" s="506">
        <v>0</v>
      </c>
      <c r="E12" s="506">
        <v>20.523647780000001</v>
      </c>
      <c r="F12" s="367">
        <f>(Table505473[[#This Row],[Column2]]/E11)-1</f>
        <v>-7.3067167147446543E-2</v>
      </c>
      <c r="L12" s="4"/>
      <c r="M12" s="4"/>
      <c r="N12" s="2"/>
      <c r="O12" s="2"/>
      <c r="P12" s="2"/>
      <c r="Q12" s="2"/>
    </row>
    <row r="13" spans="1:17" x14ac:dyDescent="0.25">
      <c r="A13" s="505" t="s">
        <v>227</v>
      </c>
      <c r="B13" s="506">
        <v>0</v>
      </c>
      <c r="C13" s="506">
        <v>0</v>
      </c>
      <c r="D13" s="506">
        <v>0</v>
      </c>
      <c r="E13" s="506">
        <v>32.796943779999999</v>
      </c>
      <c r="F13" s="367">
        <f>(Table505473[[#This Row],[Column2]]/E12)-1</f>
        <v>0.5980075341168225</v>
      </c>
      <c r="L13" s="4"/>
      <c r="M13" s="4"/>
      <c r="N13" s="2"/>
      <c r="O13" s="2"/>
      <c r="P13" s="2"/>
      <c r="Q13" s="2"/>
    </row>
    <row r="14" spans="1:17" x14ac:dyDescent="0.25">
      <c r="A14" s="505" t="s">
        <v>228</v>
      </c>
      <c r="B14" s="506">
        <v>5.04E-2</v>
      </c>
      <c r="C14" s="506">
        <v>0</v>
      </c>
      <c r="D14" s="506">
        <v>5.04E-2</v>
      </c>
      <c r="E14" s="506">
        <v>21.26141943</v>
      </c>
      <c r="F14" s="367">
        <f>(Table505473[[#This Row],[Column2]]/E13)-1</f>
        <v>-0.35172558843835056</v>
      </c>
      <c r="L14" s="4"/>
      <c r="M14" s="4"/>
      <c r="N14" s="2"/>
      <c r="O14" s="2"/>
      <c r="P14" s="2"/>
      <c r="Q14" s="2"/>
    </row>
    <row r="15" spans="1:17" x14ac:dyDescent="0.25">
      <c r="A15" s="505" t="s">
        <v>941</v>
      </c>
      <c r="B15" s="506">
        <v>0</v>
      </c>
      <c r="C15" s="506">
        <v>1.8E-5</v>
      </c>
      <c r="D15" s="506">
        <v>1.8E-5</v>
      </c>
      <c r="E15" s="506">
        <v>26.170187819999999</v>
      </c>
      <c r="F15" s="367">
        <f>(Table505473[[#This Row],[Column2]]/E14)-1</f>
        <v>0.23087679569848918</v>
      </c>
      <c r="L15" s="4"/>
      <c r="M15" s="4"/>
      <c r="N15" s="2"/>
      <c r="O15" s="2"/>
      <c r="P15" s="2"/>
      <c r="Q15" s="2"/>
    </row>
    <row r="16" spans="1:17" x14ac:dyDescent="0.25">
      <c r="A16" s="505" t="s">
        <v>230</v>
      </c>
      <c r="B16" s="506">
        <v>4.0801399999999995E-3</v>
      </c>
      <c r="C16" s="506">
        <v>0</v>
      </c>
      <c r="D16" s="506">
        <v>4.0801399999999995E-3</v>
      </c>
      <c r="E16" s="506">
        <v>72.441917000000004</v>
      </c>
      <c r="F16" s="367">
        <f>(Table505473[[#This Row],[Column2]]/E15)-1</f>
        <v>1.7681084101596642</v>
      </c>
      <c r="L16" s="4"/>
      <c r="M16" s="4"/>
      <c r="N16" s="2"/>
      <c r="O16" s="2"/>
      <c r="P16" s="2"/>
      <c r="Q16" s="2"/>
    </row>
    <row r="17" spans="1:20" x14ac:dyDescent="0.25">
      <c r="A17" s="505" t="s">
        <v>231</v>
      </c>
      <c r="B17" s="504">
        <v>0</v>
      </c>
      <c r="C17" s="504">
        <v>0</v>
      </c>
      <c r="D17" s="504">
        <v>0</v>
      </c>
      <c r="E17" s="504">
        <v>31.1781766</v>
      </c>
      <c r="F17" s="368">
        <f>(Table505473[[#This Row],[Column2]]/E16)-1</f>
        <v>-0.569611381211792</v>
      </c>
      <c r="G17" s="2"/>
      <c r="L17" s="4"/>
      <c r="M17" s="4"/>
      <c r="N17" s="2"/>
      <c r="O17" s="2"/>
      <c r="P17" s="2"/>
      <c r="Q17" s="2"/>
    </row>
    <row r="18" spans="1:20" ht="13" x14ac:dyDescent="0.3">
      <c r="A18" s="369" t="s">
        <v>442</v>
      </c>
      <c r="B18" s="153">
        <f>AVERAGE(B5:B17)</f>
        <v>5.7244184615384604E-3</v>
      </c>
      <c r="C18" s="153">
        <f>AVERAGE(C5:C17)</f>
        <v>5.3559692307692311E-4</v>
      </c>
      <c r="D18" s="65">
        <f>Table505473[[#This Row],[Column3]]+Table505473[[#This Row],[Column4]]</f>
        <v>6.2600153846153837E-3</v>
      </c>
      <c r="E18" s="153">
        <f>AVERAGE(E5:E17)</f>
        <v>32.522627042307697</v>
      </c>
      <c r="F18" s="503"/>
      <c r="Q18" s="4"/>
      <c r="R18" s="4"/>
      <c r="S18" s="4"/>
    </row>
    <row r="19" spans="1:20" x14ac:dyDescent="0.25">
      <c r="C19" s="13"/>
      <c r="D19" s="13"/>
      <c r="E19" s="13"/>
      <c r="F19" s="13"/>
      <c r="S19" s="14"/>
    </row>
    <row r="20" spans="1:20" ht="13" customHeight="1" x14ac:dyDescent="0.3">
      <c r="A20" s="137" t="s">
        <v>1011</v>
      </c>
      <c r="B20" s="137"/>
      <c r="C20" s="137"/>
      <c r="D20" s="137"/>
      <c r="E20" s="137"/>
      <c r="F20" s="2"/>
    </row>
    <row r="21" spans="1:20" ht="13" customHeight="1" x14ac:dyDescent="0.3">
      <c r="A21" s="46" t="s">
        <v>445</v>
      </c>
      <c r="B21" s="502" t="s">
        <v>444</v>
      </c>
      <c r="C21" s="502" t="s">
        <v>443</v>
      </c>
      <c r="D21" s="14"/>
    </row>
    <row r="22" spans="1:20" ht="13" customHeight="1" x14ac:dyDescent="0.25">
      <c r="A22" s="88" t="s">
        <v>888</v>
      </c>
      <c r="B22" s="139">
        <v>17.647594219999998</v>
      </c>
      <c r="C22" s="88">
        <f t="shared" ref="C22:C29" si="0">(B22/$B$30)*100</f>
        <v>56.602393547286525</v>
      </c>
      <c r="D22" s="14"/>
    </row>
    <row r="23" spans="1:20" ht="13" customHeight="1" x14ac:dyDescent="0.25">
      <c r="A23" s="136" t="s">
        <v>235</v>
      </c>
      <c r="B23" s="152">
        <v>12.19531433</v>
      </c>
      <c r="C23" s="136">
        <f t="shared" si="0"/>
        <v>39.114905552238099</v>
      </c>
      <c r="D23" s="14"/>
      <c r="T23" s="4"/>
    </row>
    <row r="24" spans="1:20" ht="13" customHeight="1" x14ac:dyDescent="0.25">
      <c r="A24" s="85" t="s">
        <v>794</v>
      </c>
      <c r="B24" s="65">
        <v>0.63159699999999996</v>
      </c>
      <c r="C24" s="85">
        <f t="shared" si="0"/>
        <v>2.0257663175851022</v>
      </c>
      <c r="D24" s="14"/>
      <c r="T24" s="4"/>
    </row>
    <row r="25" spans="1:20" ht="13" customHeight="1" x14ac:dyDescent="0.25">
      <c r="A25" s="136" t="s">
        <v>795</v>
      </c>
      <c r="B25" s="152">
        <v>0.40924894000000001</v>
      </c>
      <c r="C25" s="136">
        <f t="shared" si="0"/>
        <v>1.3126134515512367</v>
      </c>
      <c r="D25" s="14"/>
      <c r="T25" s="4"/>
    </row>
    <row r="26" spans="1:20" ht="13" customHeight="1" x14ac:dyDescent="0.25">
      <c r="A26" s="85" t="s">
        <v>832</v>
      </c>
      <c r="B26" s="65">
        <v>0.29072022999999997</v>
      </c>
      <c r="C26" s="85">
        <f t="shared" si="0"/>
        <v>0.93244782634273726</v>
      </c>
      <c r="D26" s="14"/>
      <c r="T26" s="4"/>
    </row>
    <row r="27" spans="1:20" ht="13" customHeight="1" x14ac:dyDescent="0.25">
      <c r="A27" s="136" t="s">
        <v>245</v>
      </c>
      <c r="B27" s="152">
        <v>1.80152E-3</v>
      </c>
      <c r="C27" s="136">
        <f t="shared" si="0"/>
        <v>5.7781441907670764E-3</v>
      </c>
      <c r="D27" s="14"/>
      <c r="T27" s="4"/>
    </row>
    <row r="28" spans="1:20" ht="13" customHeight="1" x14ac:dyDescent="0.25">
      <c r="A28" s="85" t="s">
        <v>254</v>
      </c>
      <c r="B28" s="65">
        <v>1.5364200000000001E-3</v>
      </c>
      <c r="C28" s="85">
        <f t="shared" si="0"/>
        <v>4.9278699640183578E-3</v>
      </c>
      <c r="D28" s="14"/>
      <c r="T28" s="4"/>
    </row>
    <row r="29" spans="1:20" ht="13" customHeight="1" x14ac:dyDescent="0.25">
      <c r="A29" s="136" t="s">
        <v>812</v>
      </c>
      <c r="B29" s="152">
        <v>3.6393999999999999E-4</v>
      </c>
      <c r="C29" s="136">
        <f t="shared" si="0"/>
        <v>1.1672908415048236E-3</v>
      </c>
      <c r="D29" s="14"/>
      <c r="T29" s="4"/>
    </row>
    <row r="30" spans="1:20" s="3" customFormat="1" ht="13" x14ac:dyDescent="0.3">
      <c r="A30" s="501"/>
      <c r="B30" s="329">
        <f>SUM(B22:B29)</f>
        <v>31.1781766</v>
      </c>
      <c r="C30" s="501">
        <f>SUM(C22:C29)</f>
        <v>100.00000000000001</v>
      </c>
      <c r="D30" s="14"/>
      <c r="E30" s="1"/>
      <c r="F30" s="1"/>
    </row>
  </sheetData>
  <mergeCells count="1">
    <mergeCell ref="A3:F3"/>
  </mergeCells>
  <hyperlinks>
    <hyperlink ref="H1" location="'Table of Content'!A1" display="Table of Content" xr:uid="{8F3C2E84-057E-4CAD-8CA1-CD01052BC21F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G13"/>
  <sheetViews>
    <sheetView zoomScaleNormal="100" workbookViewId="0">
      <selection activeCell="D14" sqref="D14"/>
    </sheetView>
  </sheetViews>
  <sheetFormatPr defaultColWidth="8.81640625" defaultRowHeight="12.5" x14ac:dyDescent="0.25"/>
  <cols>
    <col min="1" max="1" width="10.54296875" style="41" customWidth="1"/>
    <col min="2" max="2" width="14" style="41" bestFit="1" customWidth="1"/>
    <col min="3" max="3" width="13.7265625" style="41" bestFit="1" customWidth="1"/>
    <col min="4" max="4" width="18.54296875" style="41" bestFit="1" customWidth="1"/>
    <col min="5" max="5" width="18" style="41" bestFit="1" customWidth="1"/>
    <col min="6" max="8" width="8.81640625" style="41"/>
    <col min="9" max="9" width="9.7265625" style="41" bestFit="1" customWidth="1"/>
    <col min="10" max="16384" width="8.81640625" style="41"/>
  </cols>
  <sheetData>
    <row r="1" spans="1:7" ht="13" x14ac:dyDescent="0.3">
      <c r="A1" s="533" t="s">
        <v>737</v>
      </c>
      <c r="B1" s="534"/>
      <c r="C1" s="534"/>
      <c r="D1" s="534"/>
      <c r="G1" s="225" t="s">
        <v>239</v>
      </c>
    </row>
    <row r="2" spans="1:7" ht="13" x14ac:dyDescent="0.3">
      <c r="A2" s="224" t="s">
        <v>220</v>
      </c>
      <c r="B2" s="223" t="s">
        <v>243</v>
      </c>
      <c r="C2" s="222" t="s">
        <v>219</v>
      </c>
      <c r="D2" s="222" t="s">
        <v>734</v>
      </c>
      <c r="E2" s="222" t="s">
        <v>736</v>
      </c>
    </row>
    <row r="3" spans="1:7" x14ac:dyDescent="0.25">
      <c r="A3" s="204" t="s">
        <v>221</v>
      </c>
      <c r="B3" s="48">
        <v>10139.539847369992</v>
      </c>
      <c r="C3" s="48">
        <v>13084.018780820019</v>
      </c>
      <c r="D3" s="47">
        <f>SUM(B3)</f>
        <v>10139.539847369992</v>
      </c>
      <c r="E3" s="47">
        <f>C3</f>
        <v>13084.018780820019</v>
      </c>
    </row>
    <row r="4" spans="1:7" x14ac:dyDescent="0.25">
      <c r="A4" s="203" t="s">
        <v>222</v>
      </c>
      <c r="B4" s="48">
        <v>9681.6443227599975</v>
      </c>
      <c r="C4" s="48">
        <v>11755.017575339894</v>
      </c>
      <c r="D4" s="48">
        <f>SUM(B3:B4)</f>
        <v>19821.184170129989</v>
      </c>
      <c r="E4" s="48">
        <f>SUM(C3:C4)</f>
        <v>24839.036356159915</v>
      </c>
    </row>
    <row r="5" spans="1:7" x14ac:dyDescent="0.25">
      <c r="A5" s="203" t="s">
        <v>223</v>
      </c>
      <c r="B5" s="48">
        <v>10086.950392259991</v>
      </c>
      <c r="C5" s="48">
        <v>12394.525899302995</v>
      </c>
      <c r="D5" s="48">
        <f>SUM(B3:B5)</f>
        <v>29908.13456238998</v>
      </c>
      <c r="E5" s="48">
        <f>SUM(C3:C5)</f>
        <v>37233.562255462908</v>
      </c>
    </row>
    <row r="6" spans="1:7" x14ac:dyDescent="0.25">
      <c r="A6" s="203" t="s">
        <v>224</v>
      </c>
      <c r="B6" s="48">
        <v>10571.03059448999</v>
      </c>
      <c r="C6" s="48">
        <v>12708.824177229855</v>
      </c>
      <c r="D6" s="48">
        <f>SUM(B3:B6)</f>
        <v>40479.165156879972</v>
      </c>
      <c r="E6" s="48">
        <f>SUM(C3:C6)</f>
        <v>49942.386432692765</v>
      </c>
    </row>
    <row r="7" spans="1:7" x14ac:dyDescent="0.25">
      <c r="A7" s="203" t="s">
        <v>225</v>
      </c>
      <c r="B7" s="48">
        <v>11650.020788409985</v>
      </c>
      <c r="C7" s="48">
        <v>11535.876499581533</v>
      </c>
      <c r="D7" s="48">
        <f>SUM(B3:B7)</f>
        <v>52129.185945289959</v>
      </c>
      <c r="E7" s="48">
        <f>SUM(C3:C7)</f>
        <v>61478.262932274301</v>
      </c>
    </row>
    <row r="8" spans="1:7" x14ac:dyDescent="0.25">
      <c r="A8" s="203" t="s">
        <v>226</v>
      </c>
      <c r="B8" s="48">
        <v>11970.795074379994</v>
      </c>
      <c r="C8" s="48">
        <v>11301.789275339986</v>
      </c>
      <c r="D8" s="48">
        <f>SUM(B3:B8)</f>
        <v>64099.981019669955</v>
      </c>
      <c r="E8" s="48">
        <f>SUM(C3:C8)</f>
        <v>72780.052207614295</v>
      </c>
    </row>
    <row r="9" spans="1:7" x14ac:dyDescent="0.25">
      <c r="A9" s="203" t="s">
        <v>227</v>
      </c>
      <c r="B9" s="48">
        <v>12589.186209969985</v>
      </c>
      <c r="C9" s="48">
        <v>12569.744619459847</v>
      </c>
      <c r="D9" s="48">
        <f>SUM(B3:B9)</f>
        <v>76689.167229639934</v>
      </c>
      <c r="E9" s="48">
        <f>SUM(C3:C9)</f>
        <v>85349.79682707414</v>
      </c>
    </row>
    <row r="10" spans="1:7" x14ac:dyDescent="0.25">
      <c r="A10" s="203" t="s">
        <v>228</v>
      </c>
      <c r="B10" s="48">
        <v>7662.4064959199932</v>
      </c>
      <c r="C10" s="48">
        <v>12938.682378190895</v>
      </c>
      <c r="D10" s="48">
        <f>SUM(B3:B10)</f>
        <v>84351.573725559923</v>
      </c>
      <c r="E10" s="48">
        <f>SUM(C3:C10)</f>
        <v>98288.47920526503</v>
      </c>
    </row>
    <row r="11" spans="1:7" x14ac:dyDescent="0.25">
      <c r="A11" s="203" t="s">
        <v>229</v>
      </c>
      <c r="B11" s="48">
        <v>7430.1593855499841</v>
      </c>
      <c r="C11" s="48">
        <v>10832.235265630052</v>
      </c>
      <c r="D11" s="48">
        <f>SUM(B3:B11)</f>
        <v>91781.733111109905</v>
      </c>
      <c r="E11" s="48">
        <f>SUM(C3:C11)</f>
        <v>109120.71447089508</v>
      </c>
    </row>
    <row r="12" spans="1:7" x14ac:dyDescent="0.25">
      <c r="A12" s="203" t="s">
        <v>230</v>
      </c>
      <c r="B12" s="48">
        <v>13195.615728059993</v>
      </c>
      <c r="C12" s="48">
        <v>16078.4852427201</v>
      </c>
      <c r="D12" s="48">
        <f>SUM(B3:B12)</f>
        <v>104977.34883916989</v>
      </c>
      <c r="E12" s="48">
        <f>SUM(C3:C12)</f>
        <v>125199.19971361518</v>
      </c>
    </row>
    <row r="13" spans="1:7" x14ac:dyDescent="0.25">
      <c r="A13" s="203" t="s">
        <v>231</v>
      </c>
      <c r="B13" s="49">
        <v>9968.3558629299787</v>
      </c>
      <c r="C13" s="398">
        <v>14412.248196370032</v>
      </c>
      <c r="D13" s="399">
        <f>SUM(B3:B13)</f>
        <v>114945.70470209987</v>
      </c>
      <c r="E13" s="268">
        <f>SUM(C3:C13)</f>
        <v>139611.4479099852</v>
      </c>
    </row>
  </sheetData>
  <mergeCells count="1">
    <mergeCell ref="A1:D1"/>
  </mergeCells>
  <phoneticPr fontId="4" type="noConversion"/>
  <hyperlinks>
    <hyperlink ref="G1" location="'Table of Content'!A1" display="Table of Content" xr:uid="{849CFE2F-DF8B-4BE6-8458-C97EB09DAE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4"/>
  <sheetViews>
    <sheetView zoomScale="90" zoomScaleNormal="90" workbookViewId="0">
      <selection activeCell="J1" sqref="J1:K1"/>
    </sheetView>
  </sheetViews>
  <sheetFormatPr defaultColWidth="8.81640625" defaultRowHeight="12.5" x14ac:dyDescent="0.25"/>
  <cols>
    <col min="1" max="1" width="54.453125" style="41" customWidth="1"/>
    <col min="2" max="2" width="11.54296875" style="41" customWidth="1"/>
    <col min="3" max="3" width="11.81640625" style="41" customWidth="1"/>
    <col min="4" max="4" width="11.54296875" style="41" customWidth="1"/>
    <col min="5" max="5" width="14.453125" style="41" customWidth="1"/>
    <col min="6" max="7" width="12.7265625" style="41" customWidth="1"/>
    <col min="8" max="8" width="11.81640625" style="41" customWidth="1"/>
    <col min="9" max="9" width="8.81640625" style="41"/>
    <col min="10" max="10" width="8.81640625" style="41" customWidth="1"/>
    <col min="11" max="16384" width="8.81640625" style="41"/>
  </cols>
  <sheetData>
    <row r="1" spans="1:11" ht="13" x14ac:dyDescent="0.3">
      <c r="A1" s="538" t="s">
        <v>751</v>
      </c>
      <c r="B1" s="538"/>
      <c r="C1" s="538"/>
      <c r="D1" s="538"/>
      <c r="E1" s="538"/>
      <c r="F1" s="538"/>
      <c r="G1" s="538"/>
      <c r="H1" s="538"/>
      <c r="J1" s="537" t="s">
        <v>239</v>
      </c>
      <c r="K1" s="537"/>
    </row>
    <row r="2" spans="1:11" ht="14.5" customHeight="1" x14ac:dyDescent="0.3">
      <c r="A2" s="535" t="s">
        <v>750</v>
      </c>
      <c r="B2" s="539">
        <v>2024</v>
      </c>
      <c r="C2" s="540"/>
      <c r="D2" s="539">
        <v>2025</v>
      </c>
      <c r="E2" s="540"/>
      <c r="F2" s="540"/>
      <c r="G2" s="541"/>
      <c r="H2" s="535" t="s">
        <v>749</v>
      </c>
    </row>
    <row r="3" spans="1:11" ht="14.5" customHeight="1" x14ac:dyDescent="0.3">
      <c r="A3" s="536"/>
      <c r="B3" s="239" t="s">
        <v>231</v>
      </c>
      <c r="C3" s="401" t="s">
        <v>748</v>
      </c>
      <c r="D3" s="239" t="s">
        <v>230</v>
      </c>
      <c r="E3" s="239" t="s">
        <v>747</v>
      </c>
      <c r="F3" s="239" t="s">
        <v>231</v>
      </c>
      <c r="G3" s="239" t="s">
        <v>747</v>
      </c>
      <c r="H3" s="536"/>
    </row>
    <row r="4" spans="1:11" ht="14.5" x14ac:dyDescent="0.35">
      <c r="A4" s="400" t="s">
        <v>745</v>
      </c>
      <c r="B4" s="397">
        <v>6086.0754852999871</v>
      </c>
      <c r="C4" s="238">
        <f t="shared" ref="C4:C10" si="0">(B4/$B$14)*100</f>
        <v>51.375601568299658</v>
      </c>
      <c r="D4" s="397">
        <v>5452.7113866600066</v>
      </c>
      <c r="E4" s="238">
        <f t="shared" ref="E4:E10" si="1">(D4/$D$14)*100</f>
        <v>41.322144407896118</v>
      </c>
      <c r="F4" s="397">
        <v>4999.735054130012</v>
      </c>
      <c r="G4" s="238">
        <f t="shared" ref="G4:G10" si="2">(F4/$F$14)*100</f>
        <v>50.156065081131999</v>
      </c>
      <c r="H4" s="237">
        <f>F4-D4</f>
        <v>-452.97633252999458</v>
      </c>
    </row>
    <row r="5" spans="1:11" ht="14.5" x14ac:dyDescent="0.35">
      <c r="A5" s="236" t="s">
        <v>746</v>
      </c>
      <c r="B5" s="235">
        <v>4956.6030133399863</v>
      </c>
      <c r="C5" s="234">
        <f t="shared" si="0"/>
        <v>41.841160557514314</v>
      </c>
      <c r="D5" s="235">
        <v>7335.0139960599945</v>
      </c>
      <c r="E5" s="234">
        <f t="shared" si="1"/>
        <v>55.586750533075559</v>
      </c>
      <c r="F5" s="235">
        <v>4214.7910696299987</v>
      </c>
      <c r="G5" s="234">
        <f t="shared" si="2"/>
        <v>42.281707511103455</v>
      </c>
      <c r="H5" s="53">
        <f t="shared" ref="H5:H13" si="3">F5-D5</f>
        <v>-3120.2229264299958</v>
      </c>
    </row>
    <row r="6" spans="1:11" ht="14.5" x14ac:dyDescent="0.35">
      <c r="A6" s="236" t="s">
        <v>744</v>
      </c>
      <c r="B6" s="235">
        <v>746.71666047999997</v>
      </c>
      <c r="C6" s="234">
        <f t="shared" si="0"/>
        <v>6.3034081200425378</v>
      </c>
      <c r="D6" s="235">
        <v>334.32841356999978</v>
      </c>
      <c r="E6" s="234">
        <f t="shared" si="1"/>
        <v>2.5336325371999311</v>
      </c>
      <c r="F6" s="235">
        <v>698.55202153999937</v>
      </c>
      <c r="G6" s="234">
        <f t="shared" si="2"/>
        <v>7.0076954629775159</v>
      </c>
      <c r="H6" s="53">
        <f t="shared" si="3"/>
        <v>364.22360796999959</v>
      </c>
    </row>
    <row r="7" spans="1:11" ht="14.5" x14ac:dyDescent="0.35">
      <c r="A7" s="236" t="s">
        <v>743</v>
      </c>
      <c r="B7" s="235">
        <v>47.094137149999803</v>
      </c>
      <c r="C7" s="234">
        <f t="shared" si="0"/>
        <v>0.39754512284068233</v>
      </c>
      <c r="D7" s="235">
        <v>63.15963455</v>
      </c>
      <c r="E7" s="234">
        <f t="shared" si="1"/>
        <v>0.47864105663287326</v>
      </c>
      <c r="F7" s="235">
        <v>46.181503059999891</v>
      </c>
      <c r="G7" s="234">
        <f t="shared" si="2"/>
        <v>0.46328104348419319</v>
      </c>
      <c r="H7" s="53">
        <f t="shared" si="3"/>
        <v>-16.978131490000109</v>
      </c>
    </row>
    <row r="8" spans="1:11" ht="14.5" x14ac:dyDescent="0.35">
      <c r="A8" s="236" t="s">
        <v>742</v>
      </c>
      <c r="B8" s="235">
        <v>9.6263491699999921</v>
      </c>
      <c r="C8" s="234">
        <f t="shared" si="0"/>
        <v>8.1260819178103655E-2</v>
      </c>
      <c r="D8" s="235">
        <v>9.9088382599999925</v>
      </c>
      <c r="E8" s="234">
        <f t="shared" si="1"/>
        <v>7.5091897674234367E-2</v>
      </c>
      <c r="F8" s="235">
        <v>8.7769915300000001</v>
      </c>
      <c r="G8" s="234">
        <f t="shared" si="2"/>
        <v>8.8048537298307999E-2</v>
      </c>
      <c r="H8" s="53">
        <f t="shared" si="3"/>
        <v>-1.1318467299999924</v>
      </c>
    </row>
    <row r="9" spans="1:11" ht="14.5" x14ac:dyDescent="0.35">
      <c r="A9" s="236" t="s">
        <v>741</v>
      </c>
      <c r="B9" s="235">
        <v>0.11669020999999992</v>
      </c>
      <c r="C9" s="234">
        <f t="shared" si="0"/>
        <v>9.8504031873434986E-4</v>
      </c>
      <c r="D9" s="235">
        <v>0.43665162000000002</v>
      </c>
      <c r="E9" s="234">
        <f t="shared" si="1"/>
        <v>3.3090658973303996E-3</v>
      </c>
      <c r="F9" s="235">
        <v>0.31588303999999978</v>
      </c>
      <c r="G9" s="234">
        <f t="shared" si="2"/>
        <v>3.1688579776199123E-3</v>
      </c>
      <c r="H9" s="53">
        <f t="shared" si="3"/>
        <v>-0.12076858000000024</v>
      </c>
    </row>
    <row r="10" spans="1:11" ht="14.5" x14ac:dyDescent="0.35">
      <c r="A10" s="236" t="s">
        <v>740</v>
      </c>
      <c r="B10" s="235">
        <v>4.5129999999999997E-3</v>
      </c>
      <c r="C10" s="234">
        <f t="shared" si="0"/>
        <v>3.8096486058668706E-5</v>
      </c>
      <c r="D10" s="235">
        <v>1.0000000000000001E-5</v>
      </c>
      <c r="E10" s="234">
        <f t="shared" si="1"/>
        <v>7.5782746376399554E-8</v>
      </c>
      <c r="F10" s="235">
        <v>3.3400000000000001E-3</v>
      </c>
      <c r="G10" s="234">
        <f t="shared" si="2"/>
        <v>3.3506026930887181E-5</v>
      </c>
      <c r="H10" s="53">
        <f t="shared" si="3"/>
        <v>3.3300000000000001E-3</v>
      </c>
    </row>
    <row r="11" spans="1:11" ht="14.5" x14ac:dyDescent="0.35">
      <c r="A11" s="236" t="s">
        <v>753</v>
      </c>
      <c r="B11" s="235"/>
      <c r="C11" s="234"/>
      <c r="D11" s="235">
        <v>1.0499999999999999E-3</v>
      </c>
      <c r="E11" s="234"/>
      <c r="F11" s="235"/>
      <c r="G11" s="234"/>
      <c r="H11" s="53"/>
    </row>
    <row r="12" spans="1:11" ht="14.5" x14ac:dyDescent="0.35">
      <c r="A12" s="236" t="s">
        <v>739</v>
      </c>
      <c r="B12" s="235">
        <v>8.0000000000000007E-5</v>
      </c>
      <c r="C12" s="234">
        <f>(B12/$B$14)*100</f>
        <v>6.7531993899700799E-7</v>
      </c>
      <c r="D12" s="235"/>
      <c r="E12" s="234">
        <f>(D12/$D$14)*100</f>
        <v>0</v>
      </c>
      <c r="F12" s="235"/>
      <c r="G12" s="234">
        <f>(F12/$F$14)*100</f>
        <v>0</v>
      </c>
      <c r="H12" s="53">
        <f t="shared" si="3"/>
        <v>0</v>
      </c>
    </row>
    <row r="13" spans="1:11" ht="14.5" x14ac:dyDescent="0.35">
      <c r="A13" s="233" t="s">
        <v>738</v>
      </c>
      <c r="B13" s="232"/>
      <c r="C13" s="231">
        <f>(B13/$B$14)*100</f>
        <v>0</v>
      </c>
      <c r="D13" s="232">
        <v>5.5747339999999902E-2</v>
      </c>
      <c r="E13" s="231">
        <f>(D13/$D$14)*100</f>
        <v>4.2246865283789063E-4</v>
      </c>
      <c r="F13" s="232"/>
      <c r="G13" s="231">
        <f>(F13/$F$14)*100</f>
        <v>0</v>
      </c>
      <c r="H13" s="230">
        <f t="shared" si="3"/>
        <v>-5.5747339999999902E-2</v>
      </c>
    </row>
    <row r="14" spans="1:11" ht="13" x14ac:dyDescent="0.3">
      <c r="A14" s="229" t="s">
        <v>312</v>
      </c>
      <c r="B14" s="228">
        <f t="shared" ref="B14:H14" si="4">SUM(B4:B13)</f>
        <v>11846.236928649971</v>
      </c>
      <c r="C14" s="227">
        <f t="shared" si="4"/>
        <v>100.00000000000003</v>
      </c>
      <c r="D14" s="228">
        <f t="shared" si="4"/>
        <v>13195.615728060002</v>
      </c>
      <c r="E14" s="227">
        <f t="shared" si="4"/>
        <v>99.999992042811641</v>
      </c>
      <c r="F14" s="228">
        <f t="shared" si="4"/>
        <v>9968.3558629300078</v>
      </c>
      <c r="G14" s="227">
        <f t="shared" si="4"/>
        <v>100.00000000000003</v>
      </c>
      <c r="H14" s="226">
        <f t="shared" si="4"/>
        <v>-3227.2588151299906</v>
      </c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4F9A36C0-B7E0-47B5-8ED3-CBD7AAE2679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J7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81640625" style="20" customWidth="1"/>
    <col min="2" max="2" width="12.81640625" style="20" customWidth="1"/>
    <col min="3" max="3" width="12.7265625" style="20" customWidth="1"/>
    <col min="4" max="4" width="14.7265625" style="20" customWidth="1"/>
    <col min="5" max="5" width="13.1796875" style="20" customWidth="1"/>
    <col min="6" max="6" width="12.7265625" style="20" customWidth="1"/>
    <col min="7" max="7" width="12" style="20" customWidth="1"/>
    <col min="8" max="8" width="11.54296875" style="20" customWidth="1"/>
    <col min="9" max="16384" width="8.81640625" style="20"/>
  </cols>
  <sheetData>
    <row r="1" spans="1:10" ht="13" x14ac:dyDescent="0.3">
      <c r="A1" s="532" t="s">
        <v>752</v>
      </c>
      <c r="B1" s="532"/>
      <c r="C1" s="532"/>
      <c r="D1" s="532"/>
      <c r="E1" s="532"/>
      <c r="F1" s="532"/>
      <c r="G1" s="532"/>
      <c r="J1" s="240" t="s">
        <v>239</v>
      </c>
    </row>
    <row r="2" spans="1:10" ht="13" x14ac:dyDescent="0.3">
      <c r="A2" s="542" t="s">
        <v>750</v>
      </c>
      <c r="B2" s="539">
        <v>2024</v>
      </c>
      <c r="C2" s="540"/>
      <c r="D2" s="539">
        <v>2025</v>
      </c>
      <c r="E2" s="540"/>
      <c r="F2" s="540"/>
      <c r="G2" s="541"/>
      <c r="H2" s="543" t="s">
        <v>749</v>
      </c>
    </row>
    <row r="3" spans="1:10" ht="13" x14ac:dyDescent="0.3">
      <c r="A3" s="543"/>
      <c r="B3" s="239" t="s">
        <v>231</v>
      </c>
      <c r="C3" s="401" t="s">
        <v>748</v>
      </c>
      <c r="D3" s="239" t="s">
        <v>230</v>
      </c>
      <c r="E3" s="239" t="s">
        <v>747</v>
      </c>
      <c r="F3" s="239" t="s">
        <v>231</v>
      </c>
      <c r="G3" s="239" t="s">
        <v>747</v>
      </c>
      <c r="H3" s="544"/>
    </row>
    <row r="4" spans="1:10" x14ac:dyDescent="0.25">
      <c r="A4" s="58" t="s">
        <v>745</v>
      </c>
      <c r="B4" s="47">
        <v>2857.8516788899951</v>
      </c>
      <c r="C4" s="238">
        <f>(B4/$B$7)*100</f>
        <v>85.809719233383859</v>
      </c>
      <c r="D4" s="47">
        <v>1189.0596034399998</v>
      </c>
      <c r="E4" s="238">
        <f>(D4/$D$7)*100</f>
        <v>39.387348926145862</v>
      </c>
      <c r="F4" s="47">
        <v>1159.9274081199987</v>
      </c>
      <c r="G4" s="238">
        <f>(F4/$F$7)*100</f>
        <v>51.958310730285305</v>
      </c>
      <c r="H4" s="238">
        <f>Table11[[#This Row],[Column6]]-Table11[[#This Row],[Column4]]</f>
        <v>-29.132195320001074</v>
      </c>
    </row>
    <row r="5" spans="1:10" x14ac:dyDescent="0.25">
      <c r="A5" s="21" t="s">
        <v>746</v>
      </c>
      <c r="B5" s="48">
        <v>472.59858793999774</v>
      </c>
      <c r="C5" s="234">
        <f>(B5/$B$7)*100</f>
        <v>14.190222830939952</v>
      </c>
      <c r="D5" s="48">
        <v>1829.8019343099993</v>
      </c>
      <c r="E5" s="234">
        <f>(D5/$D$7)*100</f>
        <v>60.611803684104629</v>
      </c>
      <c r="F5" s="48">
        <v>1072.4919908499985</v>
      </c>
      <c r="G5" s="234">
        <f>(F5/$F$7)*100</f>
        <v>48.041689269714702</v>
      </c>
      <c r="H5" s="234">
        <f>Table11[[#This Row],[Column6]]-Table11[[#This Row],[Column4]]</f>
        <v>-757.3099434600008</v>
      </c>
    </row>
    <row r="6" spans="1:10" x14ac:dyDescent="0.25">
      <c r="A6" s="54" t="s">
        <v>741</v>
      </c>
      <c r="B6" s="49">
        <v>1.9295199999999999E-3</v>
      </c>
      <c r="C6" s="234">
        <f>(B6/$B$7)*100</f>
        <v>5.7935676185794111E-5</v>
      </c>
      <c r="D6" s="49">
        <v>2.5581739999999995E-2</v>
      </c>
      <c r="E6" s="234">
        <f>(D6/$D$7)*100</f>
        <v>8.4738974951543381E-4</v>
      </c>
      <c r="F6" s="49"/>
      <c r="G6" s="234">
        <f>(F6/$F$7)*100</f>
        <v>0</v>
      </c>
      <c r="H6" s="234">
        <f>Table11[[#This Row],[Column6]]-Table11[[#This Row],[Column4]]</f>
        <v>-2.5581739999999995E-2</v>
      </c>
    </row>
    <row r="7" spans="1:10" ht="13" x14ac:dyDescent="0.3">
      <c r="A7" s="373" t="s">
        <v>217</v>
      </c>
      <c r="B7" s="374">
        <f t="shared" ref="B7:G7" si="0">SUM(B4:B6)</f>
        <v>3330.4521963499928</v>
      </c>
      <c r="C7" s="374">
        <f t="shared" si="0"/>
        <v>100</v>
      </c>
      <c r="D7" s="374">
        <f t="shared" si="0"/>
        <v>3018.8871194899989</v>
      </c>
      <c r="E7" s="374">
        <f t="shared" si="0"/>
        <v>100</v>
      </c>
      <c r="F7" s="374">
        <f t="shared" si="0"/>
        <v>2232.419398969997</v>
      </c>
      <c r="G7" s="374">
        <f t="shared" si="0"/>
        <v>100</v>
      </c>
      <c r="H7" s="374">
        <f>Table11[[#This Row],[Column6]]-Table11[[#This Row],[Column4]]</f>
        <v>-786.46772052000188</v>
      </c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A6639F60-EBA7-40DC-B9AF-F91FC9FAB7E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20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1796875" style="20" customWidth="1"/>
    <col min="2" max="2" width="11.54296875" style="20" customWidth="1"/>
    <col min="3" max="3" width="12.7265625" style="20" customWidth="1"/>
    <col min="4" max="4" width="12.1796875" style="20" customWidth="1"/>
    <col min="5" max="5" width="13.1796875" style="20" customWidth="1"/>
    <col min="6" max="6" width="12.54296875" style="20" customWidth="1"/>
    <col min="7" max="7" width="12.1796875" style="20" customWidth="1"/>
    <col min="8" max="8" width="13.1796875" style="20" customWidth="1"/>
    <col min="9" max="9" width="8.81640625" style="20" customWidth="1"/>
    <col min="10" max="16384" width="8.81640625" style="20"/>
  </cols>
  <sheetData>
    <row r="1" spans="1:13" ht="13" x14ac:dyDescent="0.3">
      <c r="A1" s="546" t="s">
        <v>754</v>
      </c>
      <c r="B1" s="546"/>
      <c r="C1" s="546"/>
      <c r="D1" s="546"/>
      <c r="E1" s="546"/>
      <c r="F1" s="546"/>
      <c r="G1" s="546"/>
      <c r="J1" s="531" t="s">
        <v>239</v>
      </c>
      <c r="K1" s="531"/>
    </row>
    <row r="2" spans="1:13" ht="14.5" customHeight="1" x14ac:dyDescent="0.3">
      <c r="A2" s="545" t="s">
        <v>750</v>
      </c>
      <c r="B2" s="539">
        <v>2024</v>
      </c>
      <c r="C2" s="540"/>
      <c r="D2" s="539">
        <v>2025</v>
      </c>
      <c r="E2" s="540"/>
      <c r="F2" s="540"/>
      <c r="G2" s="541"/>
      <c r="H2" s="542" t="s">
        <v>241</v>
      </c>
    </row>
    <row r="3" spans="1:13" ht="13" x14ac:dyDescent="0.3">
      <c r="A3" s="543"/>
      <c r="B3" s="239" t="s">
        <v>231</v>
      </c>
      <c r="C3" s="401" t="s">
        <v>748</v>
      </c>
      <c r="D3" s="239" t="s">
        <v>230</v>
      </c>
      <c r="E3" s="239" t="s">
        <v>747</v>
      </c>
      <c r="F3" s="239" t="s">
        <v>231</v>
      </c>
      <c r="G3" s="239" t="s">
        <v>747</v>
      </c>
      <c r="H3" s="543"/>
    </row>
    <row r="4" spans="1:13" x14ac:dyDescent="0.25">
      <c r="A4" s="58" t="s">
        <v>745</v>
      </c>
      <c r="B4" s="47">
        <v>13345.298618406123</v>
      </c>
      <c r="C4" s="238">
        <f t="shared" ref="C4:C13" si="0">(B4/$B$14)*100</f>
        <v>77.104334112153694</v>
      </c>
      <c r="D4" s="47">
        <v>12428.004247789882</v>
      </c>
      <c r="E4" s="238">
        <f t="shared" ref="E4:E13" si="1">D4/$D$14*100</f>
        <v>77.295865003310055</v>
      </c>
      <c r="F4" s="47">
        <v>10810.991306059977</v>
      </c>
      <c r="G4" s="375">
        <f t="shared" ref="G4:G13" si="2">(F4/$F$14)*100</f>
        <v>75.012525171353587</v>
      </c>
      <c r="H4" s="238">
        <f>((F4/D4)-1)*100</f>
        <v>-13.011042718443422</v>
      </c>
      <c r="I4" s="35"/>
      <c r="J4" s="41"/>
    </row>
    <row r="5" spans="1:13" x14ac:dyDescent="0.25">
      <c r="A5" s="21" t="s">
        <v>746</v>
      </c>
      <c r="B5" s="48">
        <v>3407.356584979997</v>
      </c>
      <c r="C5" s="234">
        <f t="shared" si="0"/>
        <v>19.686480466251457</v>
      </c>
      <c r="D5" s="48">
        <v>3289.0610904199953</v>
      </c>
      <c r="E5" s="234">
        <f t="shared" si="1"/>
        <v>20.456287024359078</v>
      </c>
      <c r="F5" s="48">
        <v>3314.1955042499931</v>
      </c>
      <c r="G5" s="376">
        <f t="shared" si="2"/>
        <v>22.995687134258095</v>
      </c>
      <c r="H5" s="234">
        <f t="shared" ref="H5:H13" si="3">((F5/D5)-1)*100</f>
        <v>0.76418203064718693</v>
      </c>
      <c r="J5" s="35"/>
    </row>
    <row r="6" spans="1:13" x14ac:dyDescent="0.25">
      <c r="A6" s="21" t="s">
        <v>744</v>
      </c>
      <c r="B6" s="48">
        <v>517.25553007999986</v>
      </c>
      <c r="C6" s="234">
        <f t="shared" si="0"/>
        <v>2.9885163571866782</v>
      </c>
      <c r="D6" s="48">
        <v>328.06734088999912</v>
      </c>
      <c r="E6" s="234">
        <f t="shared" si="1"/>
        <v>2.0404119911640537</v>
      </c>
      <c r="F6" s="48">
        <v>233.16640736999992</v>
      </c>
      <c r="G6" s="376">
        <f t="shared" si="2"/>
        <v>1.6178350816129288</v>
      </c>
      <c r="H6" s="234">
        <f t="shared" si="3"/>
        <v>-28.927272450389829</v>
      </c>
    </row>
    <row r="7" spans="1:13" x14ac:dyDescent="0.25">
      <c r="A7" s="21" t="s">
        <v>741</v>
      </c>
      <c r="B7" s="48">
        <v>34.423276909999849</v>
      </c>
      <c r="C7" s="234">
        <f t="shared" si="0"/>
        <v>0.19888530935104792</v>
      </c>
      <c r="D7" s="48">
        <v>26.068464019999965</v>
      </c>
      <c r="E7" s="234">
        <f t="shared" si="1"/>
        <v>0.16213258666144201</v>
      </c>
      <c r="F7" s="48">
        <v>40.196249009999875</v>
      </c>
      <c r="G7" s="376">
        <f t="shared" si="2"/>
        <v>0.27890339149255117</v>
      </c>
      <c r="H7" s="234">
        <f t="shared" si="3"/>
        <v>54.194926786484011</v>
      </c>
    </row>
    <row r="8" spans="1:13" x14ac:dyDescent="0.25">
      <c r="A8" s="21" t="s">
        <v>742</v>
      </c>
      <c r="B8" s="48">
        <v>0.51352517999999781</v>
      </c>
      <c r="C8" s="234">
        <f t="shared" si="0"/>
        <v>2.9669637365111784E-3</v>
      </c>
      <c r="D8" s="48">
        <v>4.0082649899999998</v>
      </c>
      <c r="E8" s="234">
        <f t="shared" si="1"/>
        <v>2.4929369461684142E-2</v>
      </c>
      <c r="F8" s="48">
        <v>10.030607809999998</v>
      </c>
      <c r="G8" s="376">
        <f t="shared" si="2"/>
        <v>6.9597800935224108E-2</v>
      </c>
      <c r="H8" s="234">
        <f t="shared" si="3"/>
        <v>150.24812069623167</v>
      </c>
    </row>
    <row r="9" spans="1:13" x14ac:dyDescent="0.25">
      <c r="A9" s="21" t="s">
        <v>738</v>
      </c>
      <c r="B9" s="48">
        <v>2.000672939999999</v>
      </c>
      <c r="C9" s="234">
        <f t="shared" si="0"/>
        <v>1.1559168455185054E-2</v>
      </c>
      <c r="D9" s="48">
        <v>1.8869146199999989</v>
      </c>
      <c r="E9" s="234">
        <f t="shared" si="1"/>
        <v>1.1735649170399114E-2</v>
      </c>
      <c r="F9" s="48">
        <v>2.7693678899999878</v>
      </c>
      <c r="G9" s="376">
        <f t="shared" si="2"/>
        <v>1.9215377450254513E-2</v>
      </c>
      <c r="H9" s="234">
        <f t="shared" si="3"/>
        <v>46.766995212533224</v>
      </c>
    </row>
    <row r="10" spans="1:13" x14ac:dyDescent="0.25">
      <c r="A10" s="21" t="s">
        <v>743</v>
      </c>
      <c r="B10" s="48">
        <v>1.0677392999999966</v>
      </c>
      <c r="C10" s="234">
        <f t="shared" si="0"/>
        <v>6.1690135294784057E-3</v>
      </c>
      <c r="D10" s="48">
        <v>0.72249402999999834</v>
      </c>
      <c r="E10" s="234">
        <f t="shared" si="1"/>
        <v>4.4935453750354626E-3</v>
      </c>
      <c r="F10" s="48">
        <v>0.69627027999999891</v>
      </c>
      <c r="G10" s="376">
        <f t="shared" si="2"/>
        <v>4.8311010920237237E-3</v>
      </c>
      <c r="H10" s="234">
        <f t="shared" si="3"/>
        <v>-3.6296147665053402</v>
      </c>
    </row>
    <row r="11" spans="1:13" s="11" customFormat="1" ht="13" x14ac:dyDescent="0.3">
      <c r="A11" s="21" t="s">
        <v>753</v>
      </c>
      <c r="B11" s="48">
        <v>0.12938151000000001</v>
      </c>
      <c r="C11" s="234">
        <f t="shared" si="0"/>
        <v>7.4751981654543227E-4</v>
      </c>
      <c r="D11" s="48">
        <v>0.530045509999999</v>
      </c>
      <c r="E11" s="234">
        <f t="shared" si="1"/>
        <v>3.2966134682369821E-3</v>
      </c>
      <c r="F11" s="48">
        <v>0.20181941999999992</v>
      </c>
      <c r="G11" s="376">
        <f t="shared" si="2"/>
        <v>1.4003326701716977E-3</v>
      </c>
      <c r="H11" s="234">
        <f t="shared" si="3"/>
        <v>-61.924133646561728</v>
      </c>
    </row>
    <row r="12" spans="1:13" x14ac:dyDescent="0.25">
      <c r="A12" s="21" t="s">
        <v>740</v>
      </c>
      <c r="B12" s="48">
        <v>5.64333299999999E-2</v>
      </c>
      <c r="C12" s="234">
        <f t="shared" si="0"/>
        <v>3.2605147743791028E-4</v>
      </c>
      <c r="D12" s="48">
        <v>0.12880577999999901</v>
      </c>
      <c r="E12" s="234">
        <f t="shared" si="1"/>
        <v>8.0110643543564251E-4</v>
      </c>
      <c r="F12" s="48">
        <v>6.6427999999999995E-4</v>
      </c>
      <c r="G12" s="376">
        <f t="shared" si="2"/>
        <v>4.6091351671789347E-6</v>
      </c>
      <c r="H12" s="234">
        <f t="shared" si="3"/>
        <v>-99.484277801819147</v>
      </c>
    </row>
    <row r="13" spans="1:13" s="11" customFormat="1" ht="13" x14ac:dyDescent="0.3">
      <c r="A13" s="54" t="s">
        <v>739</v>
      </c>
      <c r="B13" s="49">
        <v>2.6027999999999889E-3</v>
      </c>
      <c r="C13" s="234">
        <f t="shared" si="0"/>
        <v>1.5038041977593574E-5</v>
      </c>
      <c r="D13" s="49">
        <v>7.5746699999999995E-3</v>
      </c>
      <c r="E13" s="234">
        <f t="shared" si="1"/>
        <v>4.711059459677465E-5</v>
      </c>
      <c r="F13" s="49"/>
      <c r="G13" s="376">
        <f t="shared" si="2"/>
        <v>0</v>
      </c>
      <c r="H13" s="231">
        <f t="shared" si="3"/>
        <v>-100</v>
      </c>
    </row>
    <row r="14" spans="1:13" ht="13" x14ac:dyDescent="0.3">
      <c r="A14" s="29" t="s">
        <v>217</v>
      </c>
      <c r="B14" s="244">
        <f t="shared" ref="B14:G14" si="4">SUM(B4:B13)</f>
        <v>17308.104365436116</v>
      </c>
      <c r="C14" s="243">
        <f t="shared" si="4"/>
        <v>100</v>
      </c>
      <c r="D14" s="244">
        <f t="shared" si="4"/>
        <v>16078.485242719875</v>
      </c>
      <c r="E14" s="243">
        <f t="shared" si="4"/>
        <v>100.00000000000001</v>
      </c>
      <c r="F14" s="244">
        <f t="shared" si="4"/>
        <v>14412.248196369968</v>
      </c>
      <c r="G14" s="243">
        <f t="shared" si="4"/>
        <v>99.999999999999986</v>
      </c>
      <c r="H14" s="377">
        <f>((F14/D14)-1)*100</f>
        <v>-10.363146908408904</v>
      </c>
    </row>
    <row r="15" spans="1:13" x14ac:dyDescent="0.25">
      <c r="F15" s="50"/>
      <c r="G15" s="241"/>
    </row>
    <row r="16" spans="1:13" x14ac:dyDescent="0.25">
      <c r="F16" s="35"/>
      <c r="G16" s="242"/>
      <c r="M16" s="35"/>
    </row>
    <row r="17" spans="7:9" x14ac:dyDescent="0.25">
      <c r="G17" s="241"/>
    </row>
    <row r="18" spans="7:9" x14ac:dyDescent="0.25">
      <c r="G18" s="39"/>
    </row>
    <row r="19" spans="7:9" x14ac:dyDescent="0.25">
      <c r="G19" s="39"/>
    </row>
    <row r="20" spans="7:9" x14ac:dyDescent="0.25">
      <c r="G20" s="39"/>
      <c r="I20" s="217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{2CE1F76C-4D8B-46E0-8CDC-35CDDE613E9E}</x14:id>
        </ext>
      </extLst>
    </cfRule>
  </conditionalFormatting>
  <hyperlinks>
    <hyperlink ref="J1:K1" location="'Table of Content'!A1" display="Table of Content" xr:uid="{D9134E67-A886-4C35-8E24-682655181061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E1F76C-4D8B-46E0-8CDC-35CDDE613E9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D26"/>
  <sheetViews>
    <sheetView zoomScaleNormal="100" workbookViewId="0">
      <selection activeCell="I1" sqref="I1:J1"/>
    </sheetView>
  </sheetViews>
  <sheetFormatPr defaultColWidth="8.7265625" defaultRowHeight="12.5" x14ac:dyDescent="0.25"/>
  <cols>
    <col min="1" max="2" width="11.6328125" style="20" customWidth="1"/>
    <col min="3" max="3" width="32.08984375" style="20" customWidth="1"/>
    <col min="4" max="4" width="12.453125" style="20" bestFit="1" customWidth="1"/>
    <col min="5" max="5" width="20.453125" style="20" customWidth="1"/>
    <col min="6" max="6" width="12.453125" style="36" bestFit="1" customWidth="1"/>
    <col min="7" max="7" width="8" style="20" customWidth="1"/>
    <col min="8" max="16384" width="8.7265625" style="20"/>
  </cols>
  <sheetData>
    <row r="1" spans="1:82" ht="14.5" customHeight="1" x14ac:dyDescent="0.3">
      <c r="A1" s="256" t="s">
        <v>1016</v>
      </c>
      <c r="I1" s="547" t="s">
        <v>239</v>
      </c>
      <c r="J1" s="547"/>
    </row>
    <row r="2" spans="1:82" ht="14.5" x14ac:dyDescent="0.25">
      <c r="A2" s="409" t="s">
        <v>951</v>
      </c>
      <c r="B2" s="410" t="s">
        <v>296</v>
      </c>
      <c r="C2" s="254" t="s">
        <v>782</v>
      </c>
      <c r="D2" s="255" t="s">
        <v>296</v>
      </c>
      <c r="E2" s="255" t="s">
        <v>952</v>
      </c>
      <c r="F2" s="247" t="s">
        <v>296</v>
      </c>
    </row>
    <row r="3" spans="1:82" s="34" customFormat="1" ht="14.5" x14ac:dyDescent="0.35">
      <c r="A3" s="405" t="s">
        <v>784</v>
      </c>
      <c r="B3" s="404">
        <v>2193.11847115</v>
      </c>
      <c r="C3" s="405" t="s">
        <v>780</v>
      </c>
      <c r="D3" s="404">
        <v>2788.4855303099989</v>
      </c>
      <c r="E3" s="400" t="s">
        <v>772</v>
      </c>
      <c r="F3" s="404">
        <v>553.69775100999982</v>
      </c>
    </row>
    <row r="4" spans="1:82" s="31" customFormat="1" ht="14.5" x14ac:dyDescent="0.35">
      <c r="A4" s="406" t="s">
        <v>785</v>
      </c>
      <c r="B4" s="402">
        <v>1266.3406385899996</v>
      </c>
      <c r="C4" s="406" t="s">
        <v>776</v>
      </c>
      <c r="D4" s="402">
        <v>1037.9570450599997</v>
      </c>
      <c r="E4" s="236" t="s">
        <v>770</v>
      </c>
      <c r="F4" s="402">
        <v>128.77059466999984</v>
      </c>
    </row>
    <row r="5" spans="1:82" s="250" customFormat="1" ht="14.5" x14ac:dyDescent="0.35">
      <c r="A5" s="406" t="s">
        <v>783</v>
      </c>
      <c r="B5" s="402">
        <v>412.84635324999874</v>
      </c>
      <c r="C5" s="406" t="s">
        <v>778</v>
      </c>
      <c r="D5" s="402">
        <v>388.34585088999933</v>
      </c>
      <c r="E5" s="233" t="s">
        <v>768</v>
      </c>
      <c r="F5" s="403">
        <v>16.083675859999971</v>
      </c>
      <c r="G5" s="326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</row>
    <row r="6" spans="1:82" ht="14.5" x14ac:dyDescent="0.35">
      <c r="A6" s="406" t="s">
        <v>781</v>
      </c>
      <c r="B6" s="402">
        <v>333.20178471999867</v>
      </c>
      <c r="C6" s="407" t="s">
        <v>787</v>
      </c>
      <c r="D6" s="232">
        <v>2.6433699999999899E-3</v>
      </c>
      <c r="E6" s="249" t="s">
        <v>217</v>
      </c>
      <c r="F6" s="325">
        <f>SUM(F3:F5)</f>
        <v>698.5520215399996</v>
      </c>
      <c r="G6" s="173"/>
    </row>
    <row r="7" spans="1:82" ht="14.5" x14ac:dyDescent="0.35">
      <c r="A7" s="406" t="s">
        <v>777</v>
      </c>
      <c r="B7" s="402">
        <v>194.67676330000009</v>
      </c>
      <c r="C7" s="408" t="s">
        <v>217</v>
      </c>
      <c r="D7" s="248">
        <f>SUM(D3:D5)</f>
        <v>4214.7884262599982</v>
      </c>
      <c r="E7" s="246"/>
      <c r="F7" s="245"/>
    </row>
    <row r="8" spans="1:82" ht="14.5" x14ac:dyDescent="0.35">
      <c r="A8" s="406" t="s">
        <v>775</v>
      </c>
      <c r="B8" s="402">
        <v>156.63014039000001</v>
      </c>
      <c r="E8" s="246"/>
      <c r="F8" s="245"/>
    </row>
    <row r="9" spans="1:82" ht="12.5" customHeight="1" x14ac:dyDescent="0.35">
      <c r="A9" s="406" t="s">
        <v>779</v>
      </c>
      <c r="B9" s="402">
        <v>120.29853509999981</v>
      </c>
    </row>
    <row r="10" spans="1:82" ht="12.5" customHeight="1" x14ac:dyDescent="0.35">
      <c r="A10" s="406" t="s">
        <v>758</v>
      </c>
      <c r="B10" s="402">
        <v>61.062991859999904</v>
      </c>
    </row>
    <row r="11" spans="1:82" ht="12.5" customHeight="1" x14ac:dyDescent="0.35">
      <c r="A11" s="406" t="s">
        <v>771</v>
      </c>
      <c r="B11" s="402">
        <v>59.629889569999975</v>
      </c>
    </row>
    <row r="12" spans="1:82" ht="12.5" customHeight="1" x14ac:dyDescent="0.35">
      <c r="A12" s="406" t="s">
        <v>773</v>
      </c>
      <c r="B12" s="402">
        <v>47.75861117999996</v>
      </c>
      <c r="E12" s="246"/>
      <c r="F12" s="245"/>
    </row>
    <row r="13" spans="1:82" ht="12.5" customHeight="1" x14ac:dyDescent="0.35">
      <c r="A13" s="406" t="s">
        <v>767</v>
      </c>
      <c r="B13" s="402">
        <v>42.721561109999968</v>
      </c>
      <c r="E13" s="246"/>
      <c r="F13" s="245"/>
    </row>
    <row r="14" spans="1:82" ht="12.5" customHeight="1" x14ac:dyDescent="0.35">
      <c r="A14" s="406" t="s">
        <v>765</v>
      </c>
      <c r="B14" s="402">
        <v>21.825286759999969</v>
      </c>
      <c r="E14" s="246"/>
      <c r="F14" s="245"/>
    </row>
    <row r="15" spans="1:82" ht="12.5" customHeight="1" x14ac:dyDescent="0.35">
      <c r="A15" s="406" t="s">
        <v>764</v>
      </c>
      <c r="B15" s="402">
        <v>19.83351828999999</v>
      </c>
      <c r="E15" s="246"/>
      <c r="F15" s="245"/>
    </row>
    <row r="16" spans="1:82" ht="12.5" customHeight="1" x14ac:dyDescent="0.35">
      <c r="A16" s="406" t="s">
        <v>766</v>
      </c>
      <c r="B16" s="402">
        <v>18.662711849999965</v>
      </c>
      <c r="E16" s="246"/>
      <c r="F16" s="245"/>
    </row>
    <row r="17" spans="1:6" ht="12.5" customHeight="1" x14ac:dyDescent="0.35">
      <c r="A17" s="406" t="s">
        <v>769</v>
      </c>
      <c r="B17" s="402">
        <v>14.314686969999981</v>
      </c>
      <c r="E17" s="246"/>
      <c r="F17" s="245"/>
    </row>
    <row r="18" spans="1:6" ht="14.5" x14ac:dyDescent="0.35">
      <c r="A18" s="406" t="s">
        <v>762</v>
      </c>
      <c r="B18" s="402">
        <v>10.843744959999993</v>
      </c>
      <c r="E18" s="246"/>
      <c r="F18" s="245"/>
    </row>
    <row r="19" spans="1:6" ht="14.5" x14ac:dyDescent="0.35">
      <c r="A19" s="406" t="s">
        <v>763</v>
      </c>
      <c r="B19" s="402">
        <v>10.186872069999989</v>
      </c>
      <c r="E19" s="246"/>
      <c r="F19" s="245"/>
    </row>
    <row r="20" spans="1:6" ht="14.5" x14ac:dyDescent="0.35">
      <c r="A20" s="406" t="s">
        <v>761</v>
      </c>
      <c r="B20" s="402">
        <v>5.7354269099999993</v>
      </c>
      <c r="E20" s="246"/>
      <c r="F20" s="245"/>
    </row>
    <row r="21" spans="1:6" ht="14.5" x14ac:dyDescent="0.35">
      <c r="A21" s="406" t="s">
        <v>760</v>
      </c>
      <c r="B21" s="402">
        <v>5.6451216399999939</v>
      </c>
      <c r="E21" s="246"/>
      <c r="F21" s="245"/>
    </row>
    <row r="22" spans="1:6" ht="14.5" x14ac:dyDescent="0.35">
      <c r="A22" s="406" t="s">
        <v>759</v>
      </c>
      <c r="B22" s="402">
        <v>3.2045930799999973</v>
      </c>
      <c r="E22" s="246"/>
      <c r="F22" s="245"/>
    </row>
    <row r="23" spans="1:6" ht="14.5" x14ac:dyDescent="0.35">
      <c r="A23" s="406" t="s">
        <v>757</v>
      </c>
      <c r="B23" s="402">
        <v>0.8622962099999989</v>
      </c>
      <c r="E23" s="246"/>
      <c r="F23" s="245"/>
    </row>
    <row r="24" spans="1:6" ht="14.5" x14ac:dyDescent="0.35">
      <c r="A24" s="406" t="s">
        <v>756</v>
      </c>
      <c r="B24" s="402">
        <v>0.32462152999999999</v>
      </c>
      <c r="E24" s="246"/>
      <c r="F24" s="245"/>
    </row>
    <row r="25" spans="1:6" ht="14.5" x14ac:dyDescent="0.35">
      <c r="A25" s="406" t="s">
        <v>755</v>
      </c>
      <c r="B25" s="402">
        <v>1.0433639999999999E-2</v>
      </c>
      <c r="E25" s="246"/>
      <c r="F25" s="245"/>
    </row>
    <row r="26" spans="1:6" ht="14.5" x14ac:dyDescent="0.35">
      <c r="A26" s="517" t="s">
        <v>217</v>
      </c>
      <c r="B26" s="518">
        <f>SUM(B3:B25)</f>
        <v>4999.7350541299975</v>
      </c>
      <c r="E26" s="246"/>
      <c r="F26" s="245"/>
    </row>
  </sheetData>
  <mergeCells count="1">
    <mergeCell ref="I1:J1"/>
  </mergeCells>
  <hyperlinks>
    <hyperlink ref="I1:J1" location="'Table of Content'!A1" display="Table of Content" xr:uid="{3A8445CD-B617-40E9-B05B-371D1527829F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N26"/>
  <sheetViews>
    <sheetView zoomScaleNormal="100" workbookViewId="0"/>
  </sheetViews>
  <sheetFormatPr defaultColWidth="8.7265625" defaultRowHeight="12.5" x14ac:dyDescent="0.25"/>
  <cols>
    <col min="1" max="1" width="33.26953125" style="20" customWidth="1"/>
    <col min="2" max="2" width="12.453125" style="41" bestFit="1" customWidth="1"/>
    <col min="3" max="3" width="32.81640625" style="20" customWidth="1"/>
    <col min="4" max="4" width="12.453125" style="41" bestFit="1" customWidth="1"/>
    <col min="5" max="5" width="25.7265625" style="20" customWidth="1"/>
    <col min="6" max="6" width="12.453125" style="257" bestFit="1" customWidth="1"/>
    <col min="7" max="7" width="11" style="20" customWidth="1"/>
    <col min="8" max="16384" width="8.7265625" style="20"/>
  </cols>
  <sheetData>
    <row r="1" spans="1:40" ht="13" x14ac:dyDescent="0.3">
      <c r="A1" s="11" t="s">
        <v>1015</v>
      </c>
      <c r="I1" s="547" t="s">
        <v>239</v>
      </c>
      <c r="J1" s="547"/>
    </row>
    <row r="2" spans="1:40" ht="14.5" x14ac:dyDescent="0.25">
      <c r="A2" s="264" t="s">
        <v>786</v>
      </c>
      <c r="B2" s="263" t="s">
        <v>296</v>
      </c>
      <c r="C2" s="264" t="s">
        <v>789</v>
      </c>
      <c r="D2" s="263" t="s">
        <v>296</v>
      </c>
      <c r="E2" s="264" t="s">
        <v>774</v>
      </c>
      <c r="F2" s="263" t="s">
        <v>296</v>
      </c>
    </row>
    <row r="3" spans="1:40" s="34" customFormat="1" x14ac:dyDescent="0.25">
      <c r="A3" s="58" t="s">
        <v>785</v>
      </c>
      <c r="B3" s="47">
        <v>1249.7229643499973</v>
      </c>
      <c r="C3" s="58" t="s">
        <v>778</v>
      </c>
      <c r="D3" s="411">
        <v>2270.7541627299947</v>
      </c>
      <c r="E3" s="58" t="s">
        <v>772</v>
      </c>
      <c r="F3" s="47">
        <v>228.63428417999992</v>
      </c>
      <c r="G3" s="262"/>
    </row>
    <row r="4" spans="1:40" s="34" customFormat="1" x14ac:dyDescent="0.25">
      <c r="A4" s="21" t="s">
        <v>777</v>
      </c>
      <c r="B4" s="48">
        <v>391.41680327999939</v>
      </c>
      <c r="C4" s="21" t="s">
        <v>780</v>
      </c>
      <c r="D4" s="412">
        <v>769.60373885999911</v>
      </c>
      <c r="E4" s="21" t="s">
        <v>770</v>
      </c>
      <c r="F4" s="48">
        <v>4.3403772399999925</v>
      </c>
      <c r="G4" s="262"/>
    </row>
    <row r="5" spans="1:40" s="261" customFormat="1" x14ac:dyDescent="0.25">
      <c r="A5" s="21" t="s">
        <v>756</v>
      </c>
      <c r="B5" s="48">
        <v>98.749615469999668</v>
      </c>
      <c r="C5" s="21" t="s">
        <v>776</v>
      </c>
      <c r="D5" s="412">
        <v>268.28727654000005</v>
      </c>
      <c r="E5" s="54" t="s">
        <v>768</v>
      </c>
      <c r="F5" s="49">
        <v>0.19174594999999969</v>
      </c>
      <c r="G5" s="327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</row>
    <row r="6" spans="1:40" ht="14.5" x14ac:dyDescent="0.35">
      <c r="A6" s="21" t="s">
        <v>763</v>
      </c>
      <c r="B6" s="48">
        <v>170.89678401999979</v>
      </c>
      <c r="C6" s="21" t="s">
        <v>788</v>
      </c>
      <c r="D6" s="412">
        <v>3.6308265299999896</v>
      </c>
      <c r="E6" s="249" t="s">
        <v>217</v>
      </c>
      <c r="F6" s="325">
        <f>SUM(F3:F5)</f>
        <v>233.16640736999992</v>
      </c>
      <c r="G6" s="163"/>
    </row>
    <row r="7" spans="1:40" ht="14.5" x14ac:dyDescent="0.35">
      <c r="A7" s="21" t="s">
        <v>757</v>
      </c>
      <c r="B7" s="48">
        <v>370.31201279000015</v>
      </c>
      <c r="C7" s="54" t="s">
        <v>787</v>
      </c>
      <c r="D7" s="413">
        <v>1.9194995899999987</v>
      </c>
      <c r="E7" s="246"/>
      <c r="F7" s="258"/>
      <c r="G7" s="41"/>
    </row>
    <row r="8" spans="1:40" ht="14.5" x14ac:dyDescent="0.35">
      <c r="A8" s="21" t="s">
        <v>764</v>
      </c>
      <c r="B8" s="48">
        <v>176.05893653999962</v>
      </c>
      <c r="C8" s="260" t="s">
        <v>217</v>
      </c>
      <c r="D8" s="259">
        <f>SUM(D3:D7)</f>
        <v>3314.1955042499944</v>
      </c>
      <c r="E8" s="246"/>
      <c r="F8" s="258"/>
    </row>
    <row r="9" spans="1:40" ht="14.5" x14ac:dyDescent="0.35">
      <c r="A9" s="21" t="s">
        <v>765</v>
      </c>
      <c r="B9" s="48">
        <v>117.28584678999984</v>
      </c>
      <c r="C9" s="246"/>
      <c r="D9" s="258"/>
      <c r="E9" s="246"/>
      <c r="F9" s="258"/>
    </row>
    <row r="10" spans="1:40" ht="14.5" x14ac:dyDescent="0.35">
      <c r="A10" s="21" t="s">
        <v>761</v>
      </c>
      <c r="B10" s="48">
        <v>243.14008672999935</v>
      </c>
      <c r="C10" s="246"/>
      <c r="D10" s="258"/>
      <c r="E10" s="246"/>
      <c r="F10" s="258"/>
    </row>
    <row r="11" spans="1:40" ht="14.5" x14ac:dyDescent="0.35">
      <c r="A11" s="21" t="s">
        <v>755</v>
      </c>
      <c r="B11" s="48">
        <v>2.8197589899999893</v>
      </c>
      <c r="C11" s="246"/>
      <c r="D11" s="258"/>
      <c r="E11" s="246"/>
      <c r="F11" s="258"/>
    </row>
    <row r="12" spans="1:40" ht="14.5" x14ac:dyDescent="0.35">
      <c r="A12" s="21" t="s">
        <v>762</v>
      </c>
      <c r="B12" s="48">
        <v>60.654526239999953</v>
      </c>
      <c r="C12" s="246"/>
      <c r="D12" s="258"/>
      <c r="E12" s="246"/>
      <c r="F12" s="258"/>
    </row>
    <row r="13" spans="1:40" ht="14.5" x14ac:dyDescent="0.35">
      <c r="A13" s="21" t="s">
        <v>783</v>
      </c>
      <c r="B13" s="48">
        <v>1513.3453693100021</v>
      </c>
      <c r="C13" s="246"/>
      <c r="D13" s="258"/>
      <c r="E13" s="246"/>
      <c r="F13" s="258"/>
    </row>
    <row r="14" spans="1:40" ht="14.5" x14ac:dyDescent="0.35">
      <c r="A14" s="21" t="s">
        <v>759</v>
      </c>
      <c r="B14" s="48">
        <v>335.68393123999846</v>
      </c>
      <c r="C14" s="246"/>
      <c r="D14" s="258"/>
      <c r="E14" s="246"/>
      <c r="F14" s="258"/>
    </row>
    <row r="15" spans="1:40" ht="14.5" x14ac:dyDescent="0.35">
      <c r="A15" s="21" t="s">
        <v>775</v>
      </c>
      <c r="B15" s="48">
        <v>634.92731561999904</v>
      </c>
      <c r="C15" s="246"/>
      <c r="D15" s="258"/>
      <c r="E15" s="246"/>
      <c r="F15" s="258"/>
    </row>
    <row r="16" spans="1:40" ht="14.5" x14ac:dyDescent="0.35">
      <c r="A16" s="21" t="s">
        <v>771</v>
      </c>
      <c r="B16" s="48">
        <v>168.78328384999983</v>
      </c>
      <c r="C16" s="246"/>
      <c r="D16" s="258"/>
      <c r="E16" s="246"/>
      <c r="F16" s="258"/>
    </row>
    <row r="17" spans="1:7" ht="14.5" x14ac:dyDescent="0.35">
      <c r="A17" s="21" t="s">
        <v>784</v>
      </c>
      <c r="B17" s="48">
        <v>367.04881754000007</v>
      </c>
      <c r="C17" s="246"/>
      <c r="D17" s="258"/>
      <c r="E17" s="246"/>
      <c r="F17" s="258"/>
    </row>
    <row r="18" spans="1:7" ht="14.5" x14ac:dyDescent="0.35">
      <c r="A18" s="21" t="s">
        <v>767</v>
      </c>
      <c r="B18" s="48">
        <v>634.18492926999818</v>
      </c>
      <c r="C18" s="246"/>
      <c r="D18" s="258"/>
      <c r="E18" s="246"/>
      <c r="F18" s="258"/>
    </row>
    <row r="19" spans="1:7" ht="14.5" x14ac:dyDescent="0.35">
      <c r="A19" s="21" t="s">
        <v>773</v>
      </c>
      <c r="B19" s="48">
        <v>664.78785963999917</v>
      </c>
      <c r="C19" s="246"/>
      <c r="D19" s="258"/>
      <c r="E19" s="246"/>
      <c r="F19" s="258"/>
    </row>
    <row r="20" spans="1:7" ht="14.5" x14ac:dyDescent="0.35">
      <c r="A20" s="21" t="s">
        <v>769</v>
      </c>
      <c r="B20" s="48">
        <v>623.41244200999847</v>
      </c>
      <c r="C20" s="246"/>
      <c r="D20" s="258"/>
      <c r="E20" s="246"/>
      <c r="F20" s="258"/>
      <c r="G20" s="41"/>
    </row>
    <row r="21" spans="1:7" ht="14.5" x14ac:dyDescent="0.35">
      <c r="A21" s="21" t="s">
        <v>779</v>
      </c>
      <c r="B21" s="48">
        <v>1457.4495248899998</v>
      </c>
      <c r="C21" s="246"/>
      <c r="D21" s="258"/>
      <c r="E21" s="246"/>
      <c r="F21" s="258"/>
      <c r="G21" s="41"/>
    </row>
    <row r="22" spans="1:7" ht="14.5" x14ac:dyDescent="0.35">
      <c r="A22" s="21" t="s">
        <v>766</v>
      </c>
      <c r="B22" s="48">
        <v>1060.2974451899991</v>
      </c>
      <c r="C22" s="246"/>
      <c r="D22" s="258"/>
      <c r="E22" s="246"/>
      <c r="F22" s="258"/>
      <c r="G22" s="41"/>
    </row>
    <row r="23" spans="1:7" ht="14.5" x14ac:dyDescent="0.35">
      <c r="A23" s="21" t="s">
        <v>758</v>
      </c>
      <c r="B23" s="48">
        <v>31.989178369999983</v>
      </c>
      <c r="C23" s="246"/>
      <c r="D23" s="258"/>
      <c r="E23" s="246"/>
      <c r="F23" s="258"/>
      <c r="G23" s="41"/>
    </row>
    <row r="24" spans="1:7" ht="14.5" x14ac:dyDescent="0.35">
      <c r="A24" s="21" t="s">
        <v>760</v>
      </c>
      <c r="B24" s="48">
        <v>117.26638129999989</v>
      </c>
      <c r="C24" s="246"/>
      <c r="D24" s="258"/>
      <c r="E24" s="246"/>
      <c r="F24" s="258"/>
      <c r="G24" s="41"/>
    </row>
    <row r="25" spans="1:7" ht="14.5" x14ac:dyDescent="0.35">
      <c r="A25" s="54" t="s">
        <v>781</v>
      </c>
      <c r="B25" s="49">
        <v>320.75749262999938</v>
      </c>
      <c r="C25" s="246"/>
      <c r="D25" s="258"/>
      <c r="E25" s="246"/>
      <c r="F25" s="258"/>
      <c r="G25" s="41"/>
    </row>
    <row r="26" spans="1:7" ht="14.5" x14ac:dyDescent="0.35">
      <c r="A26" s="260" t="s">
        <v>217</v>
      </c>
      <c r="B26" s="259">
        <f>SUM(B3:B25)</f>
        <v>10810.991306059988</v>
      </c>
      <c r="C26" s="246"/>
      <c r="D26" s="258"/>
      <c r="E26" s="246"/>
      <c r="F26"/>
      <c r="G26" s="41"/>
    </row>
  </sheetData>
  <mergeCells count="1">
    <mergeCell ref="I1:J1"/>
  </mergeCells>
  <hyperlinks>
    <hyperlink ref="I1:J1" location="'Table of Content'!A1" display="Table of Content" xr:uid="{80E579D5-1076-40E8-ACF0-39F83C724A38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Table of Content</vt:lpstr>
      <vt:lpstr>Tab 1 Oct 2025 revisions</vt:lpstr>
      <vt:lpstr> Tab 2 Cum Trade value 2024</vt:lpstr>
      <vt:lpstr>Tab 3 Cum Trade value 2025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Food items </vt:lpstr>
      <vt:lpstr>Tab34 Beverages</vt:lpstr>
      <vt:lpstr>Tab35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2026-01-18T05:06:15Z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